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Elena\Desktop\"/>
    </mc:Choice>
  </mc:AlternateContent>
  <bookViews>
    <workbookView xWindow="0" yWindow="0" windowWidth="20736" windowHeight="11760" tabRatio="884"/>
  </bookViews>
  <sheets>
    <sheet name="Раздел ЭКОНОМ" sheetId="18" r:id="rId1"/>
    <sheet name="Универсал" sheetId="2" r:id="rId2"/>
    <sheet name="Прожектор" sheetId="11" r:id="rId3"/>
    <sheet name="Прожектор КОБ" sheetId="12" r:id="rId4"/>
    <sheet name="Магистраль" sheetId="3" r:id="rId5"/>
    <sheet name="Склад" sheetId="15" r:id="rId6"/>
    <sheet name="Парк" sheetId="14" r:id="rId7"/>
    <sheet name="Офис" sheetId="16" r:id="rId8"/>
    <sheet name="ЖКХ" sheetId="17" r:id="rId9"/>
    <sheet name="Данные" sheetId="10" r:id="rId10"/>
  </sheets>
  <definedNames>
    <definedName name="_xlnm._FilterDatabase" localSheetId="9" hidden="1">Данные!$A$137:$A$919</definedName>
    <definedName name="_xlnm._FilterDatabase" localSheetId="0" hidden="1">'Раздел ЭКОНОМ'!$A$3:$U$73</definedName>
    <definedName name="_xlnm._FilterDatabase" localSheetId="1" hidden="1">Универсал!$A$3:$V$72</definedName>
    <definedName name="База" localSheetId="8">Данные!#REF!</definedName>
    <definedName name="База" localSheetId="7">Данные!#REF!</definedName>
    <definedName name="База" localSheetId="6">Данные!#REF!</definedName>
    <definedName name="База" localSheetId="0">Данные!#REF!</definedName>
    <definedName name="База" localSheetId="5">Данные!#REF!</definedName>
    <definedName name="База">Данные!#REF!</definedName>
    <definedName name="_xlnm.Print_Titles" localSheetId="0">'Раздел ЭКОНОМ'!$1:$3</definedName>
    <definedName name="_xlnm.Print_Titles" localSheetId="1">Универсал!$1:$3</definedName>
    <definedName name="_xlnm.Print_Area" localSheetId="8">ЖКХ!$A$1:$V$5</definedName>
    <definedName name="_xlnm.Print_Area" localSheetId="4">Магистраль!$A$1:$V$43</definedName>
    <definedName name="_xlnm.Print_Area" localSheetId="7">Офис!$A$1:$V$16</definedName>
    <definedName name="_xlnm.Print_Area" localSheetId="6">Парк!$A$1:$V$31</definedName>
    <definedName name="_xlnm.Print_Area" localSheetId="2">Прожектор!$A$1:$V$92</definedName>
    <definedName name="_xlnm.Print_Area" localSheetId="0">'Раздел ЭКОНОМ'!$A$1:$U$88</definedName>
    <definedName name="_xlnm.Print_Area" localSheetId="5">Склад!$A$1:$V$6</definedName>
    <definedName name="_xlnm.Print_Area" localSheetId="1">Универсал!$A$2:$V$73</definedName>
  </definedNames>
  <calcPr calcId="152511" refMode="R1C1"/>
</workbook>
</file>

<file path=xl/calcChain.xml><?xml version="1.0" encoding="utf-8"?>
<calcChain xmlns="http://schemas.openxmlformats.org/spreadsheetml/2006/main">
  <c r="U15" i="3" l="1"/>
  <c r="T15" i="3"/>
  <c r="S15" i="3"/>
  <c r="P15" i="3"/>
  <c r="O15" i="3"/>
  <c r="N15" i="3"/>
  <c r="M15" i="3"/>
  <c r="L15" i="3"/>
  <c r="K15" i="3"/>
  <c r="J15" i="3"/>
  <c r="I15" i="3"/>
  <c r="H15" i="3"/>
  <c r="G15" i="3"/>
  <c r="F15" i="3"/>
  <c r="C15" i="3"/>
  <c r="U14" i="3"/>
  <c r="T14" i="3"/>
  <c r="S14" i="3"/>
  <c r="P14" i="3"/>
  <c r="O14" i="3"/>
  <c r="N14" i="3"/>
  <c r="M14" i="3"/>
  <c r="L14" i="3"/>
  <c r="K14" i="3"/>
  <c r="J14" i="3"/>
  <c r="I14" i="3"/>
  <c r="H14" i="3"/>
  <c r="G14" i="3"/>
  <c r="F14" i="3"/>
  <c r="C14" i="3"/>
  <c r="U13" i="3"/>
  <c r="T13" i="3"/>
  <c r="S13" i="3"/>
  <c r="P13" i="3"/>
  <c r="O13" i="3"/>
  <c r="N13" i="3"/>
  <c r="M13" i="3"/>
  <c r="L13" i="3"/>
  <c r="K13" i="3"/>
  <c r="J13" i="3"/>
  <c r="I13" i="3"/>
  <c r="H13" i="3"/>
  <c r="G13" i="3"/>
  <c r="F13" i="3"/>
  <c r="C13" i="3"/>
  <c r="U35" i="11"/>
  <c r="T35" i="11"/>
  <c r="S35" i="11"/>
  <c r="P35" i="11"/>
  <c r="O35" i="11"/>
  <c r="N35" i="11"/>
  <c r="M35" i="11"/>
  <c r="L35" i="11"/>
  <c r="K35" i="11"/>
  <c r="J35" i="11"/>
  <c r="I35" i="11"/>
  <c r="H35" i="11"/>
  <c r="G35" i="11"/>
  <c r="F35" i="11"/>
  <c r="C35" i="11"/>
  <c r="U34" i="11"/>
  <c r="T34" i="11"/>
  <c r="S34" i="11"/>
  <c r="P34" i="11"/>
  <c r="O34" i="11"/>
  <c r="N34" i="11"/>
  <c r="M34" i="11"/>
  <c r="L34" i="11"/>
  <c r="K34" i="11"/>
  <c r="J34" i="11"/>
  <c r="I34" i="11"/>
  <c r="H34" i="11"/>
  <c r="G34" i="11"/>
  <c r="F34" i="11"/>
  <c r="C34" i="11"/>
  <c r="U33" i="11"/>
  <c r="T33" i="11"/>
  <c r="S33" i="11"/>
  <c r="P33" i="11"/>
  <c r="O33" i="11"/>
  <c r="N33" i="11"/>
  <c r="M33" i="11"/>
  <c r="L33" i="11"/>
  <c r="K33" i="11"/>
  <c r="J33" i="11"/>
  <c r="I33" i="11"/>
  <c r="H33" i="11"/>
  <c r="G33" i="11"/>
  <c r="F33" i="11"/>
  <c r="C33" i="11"/>
  <c r="U38" i="11"/>
  <c r="T38" i="11"/>
  <c r="S38" i="11"/>
  <c r="P38" i="11"/>
  <c r="O38" i="11"/>
  <c r="N38" i="11"/>
  <c r="M38" i="11"/>
  <c r="L38" i="11"/>
  <c r="K38" i="11"/>
  <c r="J38" i="11"/>
  <c r="I38" i="11"/>
  <c r="H38" i="11"/>
  <c r="G38" i="11"/>
  <c r="F38" i="11"/>
  <c r="C38" i="11"/>
  <c r="U37" i="11"/>
  <c r="T37" i="11"/>
  <c r="S37" i="11"/>
  <c r="P37" i="11"/>
  <c r="O37" i="11"/>
  <c r="N37" i="11"/>
  <c r="M37" i="11"/>
  <c r="L37" i="11"/>
  <c r="K37" i="11"/>
  <c r="J37" i="11"/>
  <c r="I37" i="11"/>
  <c r="H37" i="11"/>
  <c r="G37" i="11"/>
  <c r="F37" i="11"/>
  <c r="C37" i="11"/>
  <c r="U36" i="11"/>
  <c r="T36" i="11"/>
  <c r="S36" i="11"/>
  <c r="P36" i="11"/>
  <c r="O36" i="11"/>
  <c r="N36" i="11"/>
  <c r="M36" i="11"/>
  <c r="L36" i="11"/>
  <c r="K36" i="11"/>
  <c r="J36" i="11"/>
  <c r="I36" i="11"/>
  <c r="H36" i="11"/>
  <c r="G36" i="11"/>
  <c r="F36" i="11"/>
  <c r="C36" i="11"/>
  <c r="C39" i="11"/>
  <c r="F39" i="11"/>
  <c r="G39" i="11"/>
  <c r="H39" i="11"/>
  <c r="I39" i="11"/>
  <c r="J39" i="11"/>
  <c r="K39" i="11"/>
  <c r="L39" i="11"/>
  <c r="M39" i="11"/>
  <c r="N39" i="11"/>
  <c r="O39" i="11"/>
  <c r="P39" i="11"/>
  <c r="S39" i="11"/>
  <c r="T39" i="11"/>
  <c r="U39" i="11"/>
  <c r="C40" i="11"/>
  <c r="F40" i="11"/>
  <c r="G40" i="11"/>
  <c r="H40" i="11"/>
  <c r="I40" i="11"/>
  <c r="J40" i="11"/>
  <c r="K40" i="11"/>
  <c r="L40" i="11"/>
  <c r="M40" i="11"/>
  <c r="N40" i="11"/>
  <c r="O40" i="11"/>
  <c r="P40" i="11"/>
  <c r="S40" i="11"/>
  <c r="T40" i="11"/>
  <c r="U40" i="11"/>
  <c r="C41" i="11"/>
  <c r="F41" i="11"/>
  <c r="G41" i="11"/>
  <c r="H41" i="11"/>
  <c r="I41" i="11"/>
  <c r="J41" i="11"/>
  <c r="K41" i="11"/>
  <c r="L41" i="11"/>
  <c r="M41" i="11"/>
  <c r="N41" i="11"/>
  <c r="O41" i="11"/>
  <c r="P41" i="11"/>
  <c r="S41" i="11"/>
  <c r="T41" i="11"/>
  <c r="U41" i="11"/>
  <c r="U26" i="11"/>
  <c r="T26" i="11"/>
  <c r="S26" i="11"/>
  <c r="P26" i="11"/>
  <c r="O26" i="11"/>
  <c r="N26" i="11"/>
  <c r="M26" i="11"/>
  <c r="L26" i="11"/>
  <c r="K26" i="11"/>
  <c r="J26" i="11"/>
  <c r="I26" i="11"/>
  <c r="H26" i="11"/>
  <c r="G26" i="11"/>
  <c r="F26" i="11"/>
  <c r="C26" i="11"/>
  <c r="U25" i="11"/>
  <c r="T25" i="11"/>
  <c r="S25" i="11"/>
  <c r="P25" i="11"/>
  <c r="O25" i="11"/>
  <c r="N25" i="11"/>
  <c r="M25" i="11"/>
  <c r="L25" i="11"/>
  <c r="K25" i="11"/>
  <c r="J25" i="11"/>
  <c r="I25" i="11"/>
  <c r="H25" i="11"/>
  <c r="G25" i="11"/>
  <c r="F25" i="11"/>
  <c r="C25" i="11"/>
  <c r="U24" i="11"/>
  <c r="T24" i="11"/>
  <c r="S24" i="11"/>
  <c r="P24" i="11"/>
  <c r="O24" i="11"/>
  <c r="N24" i="11"/>
  <c r="M24" i="11"/>
  <c r="L24" i="11"/>
  <c r="K24" i="11"/>
  <c r="J24" i="11"/>
  <c r="I24" i="11"/>
  <c r="H24" i="11"/>
  <c r="G24" i="11"/>
  <c r="F24" i="11"/>
  <c r="C24" i="11"/>
  <c r="C27" i="11"/>
  <c r="F27" i="11"/>
  <c r="G27" i="11"/>
  <c r="H27" i="11"/>
  <c r="I27" i="11"/>
  <c r="J27" i="11"/>
  <c r="K27" i="11"/>
  <c r="L27" i="11"/>
  <c r="M27" i="11"/>
  <c r="N27" i="11"/>
  <c r="O27" i="11"/>
  <c r="P27" i="11"/>
  <c r="S27" i="11"/>
  <c r="T27" i="11"/>
  <c r="U27" i="11"/>
  <c r="C28" i="11"/>
  <c r="F28" i="11"/>
  <c r="G28" i="11"/>
  <c r="H28" i="11"/>
  <c r="I28" i="11"/>
  <c r="J28" i="11"/>
  <c r="K28" i="11"/>
  <c r="L28" i="11"/>
  <c r="M28" i="11"/>
  <c r="N28" i="11"/>
  <c r="O28" i="11"/>
  <c r="P28" i="11"/>
  <c r="S28" i="11"/>
  <c r="T28" i="11"/>
  <c r="U28" i="11"/>
  <c r="C29" i="11"/>
  <c r="F29" i="11"/>
  <c r="G29" i="11"/>
  <c r="H29" i="11"/>
  <c r="I29" i="11"/>
  <c r="J29" i="11"/>
  <c r="K29" i="11"/>
  <c r="L29" i="11"/>
  <c r="M29" i="11"/>
  <c r="N29" i="11"/>
  <c r="O29" i="11"/>
  <c r="P29" i="11"/>
  <c r="S29" i="11"/>
  <c r="T29" i="11"/>
  <c r="U29" i="11"/>
  <c r="U23" i="11"/>
  <c r="T23" i="11"/>
  <c r="S23" i="11"/>
  <c r="P23" i="11"/>
  <c r="O23" i="11"/>
  <c r="N23" i="11"/>
  <c r="M23" i="11"/>
  <c r="L23" i="11"/>
  <c r="K23" i="11"/>
  <c r="J23" i="11"/>
  <c r="I23" i="11"/>
  <c r="H23" i="11"/>
  <c r="G23" i="11"/>
  <c r="F23" i="11"/>
  <c r="C23" i="11"/>
  <c r="U22" i="11"/>
  <c r="T22" i="11"/>
  <c r="S22" i="11"/>
  <c r="P22" i="11"/>
  <c r="O22" i="11"/>
  <c r="N22" i="11"/>
  <c r="M22" i="11"/>
  <c r="L22" i="11"/>
  <c r="K22" i="11"/>
  <c r="J22" i="11"/>
  <c r="I22" i="11"/>
  <c r="H22" i="11"/>
  <c r="G22" i="11"/>
  <c r="F22" i="11"/>
  <c r="C22" i="11"/>
  <c r="U21" i="11"/>
  <c r="T21" i="11"/>
  <c r="S21" i="11"/>
  <c r="P21" i="11"/>
  <c r="O21" i="11"/>
  <c r="N21" i="11"/>
  <c r="M21" i="11"/>
  <c r="L21" i="11"/>
  <c r="K21" i="11"/>
  <c r="J21" i="11"/>
  <c r="I21" i="11"/>
  <c r="H21" i="11"/>
  <c r="G21" i="11"/>
  <c r="F21" i="11"/>
  <c r="C21" i="11"/>
  <c r="E13" i="3" l="1"/>
  <c r="E33" i="11"/>
  <c r="E36" i="11"/>
  <c r="E39" i="11"/>
  <c r="E21" i="11"/>
  <c r="E24" i="11"/>
  <c r="E27" i="11"/>
  <c r="C191" i="10"/>
  <c r="Q36" i="11" s="1"/>
  <c r="R36" i="11" s="1"/>
  <c r="C192" i="10"/>
  <c r="Q37" i="11" s="1"/>
  <c r="R37" i="11" s="1"/>
  <c r="C193" i="10"/>
  <c r="Q38" i="11" s="1"/>
  <c r="R38" i="11" s="1"/>
  <c r="C189" i="10"/>
  <c r="Q34" i="11" s="1"/>
  <c r="R34" i="11" s="1"/>
  <c r="C190" i="10"/>
  <c r="Q35" i="11" s="1"/>
  <c r="R35" i="11" s="1"/>
  <c r="C188" i="10"/>
  <c r="Q33" i="11" s="1"/>
  <c r="R33" i="11" s="1"/>
  <c r="C179" i="10"/>
  <c r="Q24" i="11" s="1"/>
  <c r="R24" i="11" s="1"/>
  <c r="C180" i="10"/>
  <c r="Q25" i="11" s="1"/>
  <c r="R25" i="11" s="1"/>
  <c r="C181" i="10"/>
  <c r="Q26" i="11" s="1"/>
  <c r="R26" i="11" s="1"/>
  <c r="C178" i="10"/>
  <c r="Q23" i="11" s="1"/>
  <c r="R23" i="11" s="1"/>
  <c r="C177" i="10"/>
  <c r="Q22" i="11" s="1"/>
  <c r="R22" i="11" s="1"/>
  <c r="C176" i="10"/>
  <c r="Q21" i="11" s="1"/>
  <c r="R21" i="11" s="1"/>
  <c r="C284" i="10"/>
  <c r="Q13" i="3" s="1"/>
  <c r="R13" i="3" s="1"/>
  <c r="C287" i="10"/>
  <c r="Q14" i="3" s="1"/>
  <c r="R14" i="3" s="1"/>
  <c r="C290" i="10"/>
  <c r="Q15" i="3" s="1"/>
  <c r="R15" i="3" s="1"/>
  <c r="U16" i="11" l="1"/>
  <c r="T16" i="11"/>
  <c r="S16" i="11"/>
  <c r="P16" i="11"/>
  <c r="O16" i="11"/>
  <c r="N16" i="11"/>
  <c r="M16" i="11"/>
  <c r="L16" i="11"/>
  <c r="K16" i="11"/>
  <c r="J16" i="11"/>
  <c r="I16" i="11"/>
  <c r="H16" i="11"/>
  <c r="G16" i="11"/>
  <c r="F16" i="11"/>
  <c r="C16" i="11"/>
  <c r="C221" i="10"/>
  <c r="Q16" i="11" s="1"/>
  <c r="E16" i="11" l="1"/>
  <c r="R16" i="11"/>
  <c r="C81" i="18"/>
  <c r="C4" i="2"/>
  <c r="P81" i="18"/>
  <c r="O81" i="18"/>
  <c r="O79" i="18"/>
  <c r="C5" i="15" l="1"/>
  <c r="C4" i="15"/>
  <c r="C5" i="18"/>
  <c r="C223" i="10" l="1"/>
  <c r="U91" i="11"/>
  <c r="T91" i="11"/>
  <c r="S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C91" i="11"/>
  <c r="E91" i="11" l="1"/>
  <c r="R91" i="11"/>
  <c r="U4" i="15"/>
  <c r="T4" i="15"/>
  <c r="S4" i="15"/>
  <c r="P4" i="15"/>
  <c r="O4" i="15"/>
  <c r="N4" i="15"/>
  <c r="M4" i="15"/>
  <c r="L4" i="15"/>
  <c r="K4" i="15"/>
  <c r="J4" i="15"/>
  <c r="I4" i="15"/>
  <c r="H4" i="15"/>
  <c r="G4" i="15"/>
  <c r="F4" i="15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C84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C83" i="18"/>
  <c r="C226" i="10"/>
  <c r="T87" i="18"/>
  <c r="S87" i="18"/>
  <c r="R87" i="18"/>
  <c r="P87" i="18"/>
  <c r="O87" i="18"/>
  <c r="N87" i="18"/>
  <c r="M87" i="18"/>
  <c r="L87" i="18"/>
  <c r="K87" i="18"/>
  <c r="J87" i="18"/>
  <c r="I87" i="18"/>
  <c r="H87" i="18"/>
  <c r="G87" i="18"/>
  <c r="F87" i="18"/>
  <c r="C87" i="18"/>
  <c r="T86" i="18"/>
  <c r="S86" i="18"/>
  <c r="R86" i="18"/>
  <c r="P86" i="18"/>
  <c r="O86" i="18"/>
  <c r="N86" i="18"/>
  <c r="M86" i="18"/>
  <c r="L86" i="18"/>
  <c r="K86" i="18"/>
  <c r="J86" i="18"/>
  <c r="I86" i="18"/>
  <c r="H86" i="18"/>
  <c r="G86" i="18"/>
  <c r="F86" i="18"/>
  <c r="C86" i="18"/>
  <c r="C316" i="10"/>
  <c r="Q87" i="18" s="1"/>
  <c r="C315" i="10"/>
  <c r="Q86" i="18" s="1"/>
  <c r="C314" i="10"/>
  <c r="C317" i="10"/>
  <c r="E83" i="18" l="1"/>
  <c r="E86" i="18"/>
  <c r="E4" i="15"/>
  <c r="C224" i="10"/>
  <c r="T82" i="18"/>
  <c r="S82" i="18"/>
  <c r="R82" i="18"/>
  <c r="P82" i="18"/>
  <c r="O82" i="18"/>
  <c r="N82" i="18"/>
  <c r="M82" i="18"/>
  <c r="L82" i="18"/>
  <c r="K82" i="18"/>
  <c r="J82" i="18"/>
  <c r="I82" i="18"/>
  <c r="H82" i="18"/>
  <c r="G82" i="18"/>
  <c r="F82" i="18"/>
  <c r="C82" i="18"/>
  <c r="T81" i="18"/>
  <c r="S81" i="18"/>
  <c r="R81" i="18"/>
  <c r="N81" i="18"/>
  <c r="M81" i="18"/>
  <c r="L81" i="18"/>
  <c r="K81" i="18"/>
  <c r="J81" i="18"/>
  <c r="I81" i="18"/>
  <c r="H81" i="18"/>
  <c r="G81" i="18"/>
  <c r="F81" i="18"/>
  <c r="T79" i="18"/>
  <c r="S79" i="18"/>
  <c r="R79" i="18"/>
  <c r="P79" i="18"/>
  <c r="N79" i="18"/>
  <c r="M79" i="18"/>
  <c r="L79" i="18"/>
  <c r="K79" i="18"/>
  <c r="J79" i="18"/>
  <c r="I79" i="18"/>
  <c r="H79" i="18"/>
  <c r="G79" i="18"/>
  <c r="F79" i="18"/>
  <c r="C79" i="18"/>
  <c r="T78" i="18"/>
  <c r="S78" i="18"/>
  <c r="R78" i="18"/>
  <c r="P78" i="18"/>
  <c r="O78" i="18"/>
  <c r="N78" i="18"/>
  <c r="M78" i="18"/>
  <c r="L78" i="18"/>
  <c r="K78" i="18"/>
  <c r="J78" i="18"/>
  <c r="I78" i="18"/>
  <c r="H78" i="18"/>
  <c r="G78" i="18"/>
  <c r="F78" i="18"/>
  <c r="C78" i="18"/>
  <c r="T77" i="18"/>
  <c r="S77" i="18"/>
  <c r="R77" i="18"/>
  <c r="P77" i="18"/>
  <c r="O77" i="18"/>
  <c r="N77" i="18"/>
  <c r="M77" i="18"/>
  <c r="L77" i="18"/>
  <c r="K77" i="18"/>
  <c r="J77" i="18"/>
  <c r="I77" i="18"/>
  <c r="H77" i="18"/>
  <c r="G77" i="18"/>
  <c r="F77" i="18"/>
  <c r="C77" i="18"/>
  <c r="T76" i="18"/>
  <c r="S76" i="18"/>
  <c r="R76" i="18"/>
  <c r="P76" i="18"/>
  <c r="O76" i="18"/>
  <c r="N76" i="18"/>
  <c r="M76" i="18"/>
  <c r="L76" i="18"/>
  <c r="K76" i="18"/>
  <c r="J76" i="18"/>
  <c r="I76" i="18"/>
  <c r="H76" i="18"/>
  <c r="G76" i="18"/>
  <c r="F76" i="18"/>
  <c r="C76" i="18"/>
  <c r="T75" i="18"/>
  <c r="S75" i="18"/>
  <c r="R75" i="18"/>
  <c r="P75" i="18"/>
  <c r="O75" i="18"/>
  <c r="N75" i="18"/>
  <c r="M75" i="18"/>
  <c r="L75" i="18"/>
  <c r="K75" i="18"/>
  <c r="J75" i="18"/>
  <c r="I75" i="18"/>
  <c r="H75" i="18"/>
  <c r="G75" i="18"/>
  <c r="F75" i="18"/>
  <c r="C75" i="18"/>
  <c r="T74" i="18"/>
  <c r="S74" i="18"/>
  <c r="R74" i="18"/>
  <c r="P74" i="18"/>
  <c r="O74" i="18"/>
  <c r="N74" i="18"/>
  <c r="M74" i="18"/>
  <c r="L74" i="18"/>
  <c r="K74" i="18"/>
  <c r="J74" i="18"/>
  <c r="I74" i="18"/>
  <c r="H74" i="18"/>
  <c r="G74" i="18"/>
  <c r="F74" i="18"/>
  <c r="C74" i="18"/>
  <c r="T64" i="18"/>
  <c r="S64" i="18"/>
  <c r="R64" i="18"/>
  <c r="P64" i="18"/>
  <c r="O64" i="18"/>
  <c r="N64" i="18"/>
  <c r="M64" i="18"/>
  <c r="L64" i="18"/>
  <c r="K64" i="18"/>
  <c r="J64" i="18"/>
  <c r="I64" i="18"/>
  <c r="H64" i="18"/>
  <c r="G64" i="18"/>
  <c r="F64" i="18"/>
  <c r="C64" i="18"/>
  <c r="T63" i="18"/>
  <c r="S63" i="18"/>
  <c r="R63" i="18"/>
  <c r="P63" i="18"/>
  <c r="O63" i="18"/>
  <c r="N63" i="18"/>
  <c r="M63" i="18"/>
  <c r="L63" i="18"/>
  <c r="K63" i="18"/>
  <c r="J63" i="18"/>
  <c r="I63" i="18"/>
  <c r="H63" i="18"/>
  <c r="G63" i="18"/>
  <c r="F63" i="18"/>
  <c r="C63" i="18"/>
  <c r="T62" i="18"/>
  <c r="S62" i="18"/>
  <c r="R62" i="18"/>
  <c r="P62" i="18"/>
  <c r="O62" i="18"/>
  <c r="N62" i="18"/>
  <c r="M62" i="18"/>
  <c r="L62" i="18"/>
  <c r="K62" i="18"/>
  <c r="J62" i="18"/>
  <c r="I62" i="18"/>
  <c r="H62" i="18"/>
  <c r="G62" i="18"/>
  <c r="F62" i="18"/>
  <c r="C62" i="18"/>
  <c r="T61" i="18"/>
  <c r="S61" i="18"/>
  <c r="R61" i="18"/>
  <c r="P61" i="18"/>
  <c r="O61" i="18"/>
  <c r="N61" i="18"/>
  <c r="M61" i="18"/>
  <c r="L61" i="18"/>
  <c r="K61" i="18"/>
  <c r="J61" i="18"/>
  <c r="I61" i="18"/>
  <c r="H61" i="18"/>
  <c r="G61" i="18"/>
  <c r="F61" i="18"/>
  <c r="C61" i="18"/>
  <c r="T60" i="18"/>
  <c r="S60" i="18"/>
  <c r="R60" i="18"/>
  <c r="P60" i="18"/>
  <c r="O60" i="18"/>
  <c r="N60" i="18"/>
  <c r="M60" i="18"/>
  <c r="L60" i="18"/>
  <c r="K60" i="18"/>
  <c r="J60" i="18"/>
  <c r="I60" i="18"/>
  <c r="H60" i="18"/>
  <c r="G60" i="18"/>
  <c r="F60" i="18"/>
  <c r="C60" i="18"/>
  <c r="T59" i="18"/>
  <c r="S59" i="18"/>
  <c r="R59" i="18"/>
  <c r="P59" i="18"/>
  <c r="O59" i="18"/>
  <c r="N59" i="18"/>
  <c r="M59" i="18"/>
  <c r="L59" i="18"/>
  <c r="K59" i="18"/>
  <c r="J59" i="18"/>
  <c r="I59" i="18"/>
  <c r="H59" i="18"/>
  <c r="G59" i="18"/>
  <c r="F59" i="18"/>
  <c r="C59" i="18"/>
  <c r="T52" i="18"/>
  <c r="S52" i="18"/>
  <c r="R52" i="18"/>
  <c r="P52" i="18"/>
  <c r="O52" i="18"/>
  <c r="N52" i="18"/>
  <c r="M52" i="18"/>
  <c r="L52" i="18"/>
  <c r="K52" i="18"/>
  <c r="J52" i="18"/>
  <c r="I52" i="18"/>
  <c r="H52" i="18"/>
  <c r="G52" i="18"/>
  <c r="F52" i="18"/>
  <c r="C52" i="18"/>
  <c r="T51" i="18"/>
  <c r="S51" i="18"/>
  <c r="R51" i="18"/>
  <c r="P51" i="18"/>
  <c r="O51" i="18"/>
  <c r="N51" i="18"/>
  <c r="M51" i="18"/>
  <c r="L51" i="18"/>
  <c r="K51" i="18"/>
  <c r="J51" i="18"/>
  <c r="I51" i="18"/>
  <c r="H51" i="18"/>
  <c r="G51" i="18"/>
  <c r="F51" i="18"/>
  <c r="C51" i="18"/>
  <c r="T50" i="18"/>
  <c r="S50" i="18"/>
  <c r="R50" i="18"/>
  <c r="P50" i="18"/>
  <c r="O50" i="18"/>
  <c r="N50" i="18"/>
  <c r="M50" i="18"/>
  <c r="L50" i="18"/>
  <c r="K50" i="18"/>
  <c r="J50" i="18"/>
  <c r="I50" i="18"/>
  <c r="H50" i="18"/>
  <c r="G50" i="18"/>
  <c r="F50" i="18"/>
  <c r="C50" i="18"/>
  <c r="T49" i="18"/>
  <c r="S49" i="18"/>
  <c r="R49" i="18"/>
  <c r="P49" i="18"/>
  <c r="O49" i="18"/>
  <c r="N49" i="18"/>
  <c r="M49" i="18"/>
  <c r="L49" i="18"/>
  <c r="K49" i="18"/>
  <c r="J49" i="18"/>
  <c r="I49" i="18"/>
  <c r="H49" i="18"/>
  <c r="G49" i="18"/>
  <c r="F49" i="18"/>
  <c r="C49" i="18"/>
  <c r="T48" i="18"/>
  <c r="S48" i="18"/>
  <c r="R48" i="18"/>
  <c r="P48" i="18"/>
  <c r="O48" i="18"/>
  <c r="N48" i="18"/>
  <c r="M48" i="18"/>
  <c r="L48" i="18"/>
  <c r="K48" i="18"/>
  <c r="J48" i="18"/>
  <c r="I48" i="18"/>
  <c r="H48" i="18"/>
  <c r="G48" i="18"/>
  <c r="F48" i="18"/>
  <c r="C48" i="18"/>
  <c r="T47" i="18"/>
  <c r="S47" i="18"/>
  <c r="R47" i="18"/>
  <c r="P47" i="18"/>
  <c r="O47" i="18"/>
  <c r="N47" i="18"/>
  <c r="M47" i="18"/>
  <c r="L47" i="18"/>
  <c r="K47" i="18"/>
  <c r="J47" i="18"/>
  <c r="I47" i="18"/>
  <c r="H47" i="18"/>
  <c r="G47" i="18"/>
  <c r="F47" i="18"/>
  <c r="C47" i="18"/>
  <c r="T40" i="18"/>
  <c r="S40" i="18"/>
  <c r="R40" i="18"/>
  <c r="P40" i="18"/>
  <c r="O40" i="18"/>
  <c r="N40" i="18"/>
  <c r="M40" i="18"/>
  <c r="L40" i="18"/>
  <c r="K40" i="18"/>
  <c r="J40" i="18"/>
  <c r="I40" i="18"/>
  <c r="H40" i="18"/>
  <c r="G40" i="18"/>
  <c r="F40" i="18"/>
  <c r="C40" i="18"/>
  <c r="T39" i="18"/>
  <c r="S39" i="18"/>
  <c r="R39" i="18"/>
  <c r="P39" i="18"/>
  <c r="O39" i="18"/>
  <c r="N39" i="18"/>
  <c r="M39" i="18"/>
  <c r="L39" i="18"/>
  <c r="K39" i="18"/>
  <c r="J39" i="18"/>
  <c r="I39" i="18"/>
  <c r="H39" i="18"/>
  <c r="G39" i="18"/>
  <c r="F39" i="18"/>
  <c r="C39" i="18"/>
  <c r="T38" i="18"/>
  <c r="S38" i="18"/>
  <c r="R38" i="18"/>
  <c r="P38" i="18"/>
  <c r="O38" i="18"/>
  <c r="N38" i="18"/>
  <c r="M38" i="18"/>
  <c r="L38" i="18"/>
  <c r="K38" i="18"/>
  <c r="J38" i="18"/>
  <c r="I38" i="18"/>
  <c r="H38" i="18"/>
  <c r="G38" i="18"/>
  <c r="F38" i="18"/>
  <c r="C38" i="18"/>
  <c r="T37" i="18"/>
  <c r="S37" i="18"/>
  <c r="R37" i="18"/>
  <c r="P37" i="18"/>
  <c r="O37" i="18"/>
  <c r="N37" i="18"/>
  <c r="M37" i="18"/>
  <c r="L37" i="18"/>
  <c r="K37" i="18"/>
  <c r="J37" i="18"/>
  <c r="I37" i="18"/>
  <c r="H37" i="18"/>
  <c r="G37" i="18"/>
  <c r="F37" i="18"/>
  <c r="C37" i="18"/>
  <c r="T36" i="18"/>
  <c r="S36" i="18"/>
  <c r="R36" i="18"/>
  <c r="P36" i="18"/>
  <c r="O36" i="18"/>
  <c r="N36" i="18"/>
  <c r="M36" i="18"/>
  <c r="L36" i="18"/>
  <c r="K36" i="18"/>
  <c r="J36" i="18"/>
  <c r="I36" i="18"/>
  <c r="H36" i="18"/>
  <c r="G36" i="18"/>
  <c r="F36" i="18"/>
  <c r="C36" i="18"/>
  <c r="T35" i="18"/>
  <c r="S35" i="18"/>
  <c r="R35" i="18"/>
  <c r="P35" i="18"/>
  <c r="O35" i="18"/>
  <c r="N35" i="18"/>
  <c r="M35" i="18"/>
  <c r="L35" i="18"/>
  <c r="K35" i="18"/>
  <c r="J35" i="18"/>
  <c r="I35" i="18"/>
  <c r="H35" i="18"/>
  <c r="G35" i="18"/>
  <c r="F35" i="18"/>
  <c r="C35" i="18"/>
  <c r="T16" i="18"/>
  <c r="S16" i="18"/>
  <c r="R16" i="18"/>
  <c r="P16" i="18"/>
  <c r="O16" i="18"/>
  <c r="N16" i="18"/>
  <c r="M16" i="18"/>
  <c r="L16" i="18"/>
  <c r="K16" i="18"/>
  <c r="J16" i="18"/>
  <c r="I16" i="18"/>
  <c r="H16" i="18"/>
  <c r="G16" i="18"/>
  <c r="F16" i="18"/>
  <c r="C16" i="18"/>
  <c r="T15" i="18"/>
  <c r="S15" i="18"/>
  <c r="R15" i="18"/>
  <c r="P15" i="18"/>
  <c r="O15" i="18"/>
  <c r="N15" i="18"/>
  <c r="M15" i="18"/>
  <c r="L15" i="18"/>
  <c r="K15" i="18"/>
  <c r="J15" i="18"/>
  <c r="I15" i="18"/>
  <c r="H15" i="18"/>
  <c r="G15" i="18"/>
  <c r="F15" i="18"/>
  <c r="C15" i="18"/>
  <c r="T14" i="18"/>
  <c r="S14" i="18"/>
  <c r="R14" i="18"/>
  <c r="P14" i="18"/>
  <c r="O14" i="18"/>
  <c r="N14" i="18"/>
  <c r="M14" i="18"/>
  <c r="L14" i="18"/>
  <c r="K14" i="18"/>
  <c r="J14" i="18"/>
  <c r="I14" i="18"/>
  <c r="H14" i="18"/>
  <c r="G14" i="18"/>
  <c r="F14" i="18"/>
  <c r="C14" i="18"/>
  <c r="T13" i="18"/>
  <c r="S13" i="18"/>
  <c r="R13" i="18"/>
  <c r="P13" i="18"/>
  <c r="O13" i="18"/>
  <c r="N13" i="18"/>
  <c r="M13" i="18"/>
  <c r="L13" i="18"/>
  <c r="K13" i="18"/>
  <c r="J13" i="18"/>
  <c r="I13" i="18"/>
  <c r="H13" i="18"/>
  <c r="G13" i="18"/>
  <c r="F13" i="18"/>
  <c r="C13" i="18"/>
  <c r="T12" i="18"/>
  <c r="S12" i="18"/>
  <c r="R12" i="18"/>
  <c r="P12" i="18"/>
  <c r="O12" i="18"/>
  <c r="N12" i="18"/>
  <c r="M12" i="18"/>
  <c r="L12" i="18"/>
  <c r="K12" i="18"/>
  <c r="J12" i="18"/>
  <c r="I12" i="18"/>
  <c r="H12" i="18"/>
  <c r="G12" i="18"/>
  <c r="F12" i="18"/>
  <c r="C12" i="18"/>
  <c r="T11" i="18"/>
  <c r="S11" i="18"/>
  <c r="R11" i="18"/>
  <c r="P11" i="18"/>
  <c r="O11" i="18"/>
  <c r="N11" i="18"/>
  <c r="M11" i="18"/>
  <c r="L11" i="18"/>
  <c r="K11" i="18"/>
  <c r="J11" i="18"/>
  <c r="I11" i="18"/>
  <c r="H11" i="18"/>
  <c r="G11" i="18"/>
  <c r="F11" i="18"/>
  <c r="C11" i="18"/>
  <c r="T28" i="18"/>
  <c r="S28" i="18"/>
  <c r="R28" i="18"/>
  <c r="P28" i="18"/>
  <c r="O28" i="18"/>
  <c r="N28" i="18"/>
  <c r="M28" i="18"/>
  <c r="L28" i="18"/>
  <c r="K28" i="18"/>
  <c r="J28" i="18"/>
  <c r="I28" i="18"/>
  <c r="H28" i="18"/>
  <c r="G28" i="18"/>
  <c r="F28" i="18"/>
  <c r="C28" i="18"/>
  <c r="T27" i="18"/>
  <c r="S27" i="18"/>
  <c r="R27" i="18"/>
  <c r="P27" i="18"/>
  <c r="O27" i="18"/>
  <c r="N27" i="18"/>
  <c r="M27" i="18"/>
  <c r="L27" i="18"/>
  <c r="K27" i="18"/>
  <c r="J27" i="18"/>
  <c r="I27" i="18"/>
  <c r="H27" i="18"/>
  <c r="G27" i="18"/>
  <c r="F27" i="18"/>
  <c r="C27" i="18"/>
  <c r="T26" i="18"/>
  <c r="S26" i="18"/>
  <c r="R26" i="18"/>
  <c r="P26" i="18"/>
  <c r="O26" i="18"/>
  <c r="N26" i="18"/>
  <c r="M26" i="18"/>
  <c r="L26" i="18"/>
  <c r="K26" i="18"/>
  <c r="J26" i="18"/>
  <c r="I26" i="18"/>
  <c r="H26" i="18"/>
  <c r="G26" i="18"/>
  <c r="F26" i="18"/>
  <c r="C26" i="18"/>
  <c r="T25" i="18"/>
  <c r="S25" i="18"/>
  <c r="R25" i="18"/>
  <c r="P25" i="18"/>
  <c r="O25" i="18"/>
  <c r="N25" i="18"/>
  <c r="M25" i="18"/>
  <c r="L25" i="18"/>
  <c r="K25" i="18"/>
  <c r="J25" i="18"/>
  <c r="I25" i="18"/>
  <c r="H25" i="18"/>
  <c r="G25" i="18"/>
  <c r="F25" i="18"/>
  <c r="C25" i="18"/>
  <c r="T24" i="18"/>
  <c r="S24" i="18"/>
  <c r="R24" i="18"/>
  <c r="P24" i="18"/>
  <c r="O24" i="18"/>
  <c r="N24" i="18"/>
  <c r="M24" i="18"/>
  <c r="L24" i="18"/>
  <c r="K24" i="18"/>
  <c r="J24" i="18"/>
  <c r="I24" i="18"/>
  <c r="H24" i="18"/>
  <c r="G24" i="18"/>
  <c r="F24" i="18"/>
  <c r="C24" i="18"/>
  <c r="T23" i="18"/>
  <c r="S23" i="18"/>
  <c r="R23" i="18"/>
  <c r="P23" i="18"/>
  <c r="O23" i="18"/>
  <c r="N23" i="18"/>
  <c r="M23" i="18"/>
  <c r="L23" i="18"/>
  <c r="K23" i="18"/>
  <c r="J23" i="18"/>
  <c r="I23" i="18"/>
  <c r="H23" i="18"/>
  <c r="G23" i="18"/>
  <c r="F23" i="18"/>
  <c r="C23" i="18"/>
  <c r="C17" i="18"/>
  <c r="F17" i="18"/>
  <c r="G17" i="18"/>
  <c r="H17" i="18"/>
  <c r="I17" i="18"/>
  <c r="J17" i="18"/>
  <c r="K17" i="18"/>
  <c r="L17" i="18"/>
  <c r="M17" i="18"/>
  <c r="N17" i="18"/>
  <c r="O17" i="18"/>
  <c r="P17" i="18"/>
  <c r="R17" i="18"/>
  <c r="S17" i="18"/>
  <c r="T17" i="18"/>
  <c r="C18" i="18"/>
  <c r="F18" i="18"/>
  <c r="G18" i="18"/>
  <c r="H18" i="18"/>
  <c r="I18" i="18"/>
  <c r="J18" i="18"/>
  <c r="K18" i="18"/>
  <c r="L18" i="18"/>
  <c r="M18" i="18"/>
  <c r="N18" i="18"/>
  <c r="O18" i="18"/>
  <c r="P18" i="18"/>
  <c r="R18" i="18"/>
  <c r="S18" i="18"/>
  <c r="T18" i="18"/>
  <c r="C19" i="18"/>
  <c r="F19" i="18"/>
  <c r="G19" i="18"/>
  <c r="H19" i="18"/>
  <c r="I19" i="18"/>
  <c r="J19" i="18"/>
  <c r="K19" i="18"/>
  <c r="L19" i="18"/>
  <c r="M19" i="18"/>
  <c r="N19" i="18"/>
  <c r="O19" i="18"/>
  <c r="P19" i="18"/>
  <c r="R19" i="18"/>
  <c r="S19" i="18"/>
  <c r="T19" i="18"/>
  <c r="C20" i="18"/>
  <c r="F20" i="18"/>
  <c r="G20" i="18"/>
  <c r="H20" i="18"/>
  <c r="I20" i="18"/>
  <c r="J20" i="18"/>
  <c r="K20" i="18"/>
  <c r="L20" i="18"/>
  <c r="M20" i="18"/>
  <c r="N20" i="18"/>
  <c r="O20" i="18"/>
  <c r="P20" i="18"/>
  <c r="R20" i="18"/>
  <c r="S20" i="18"/>
  <c r="T20" i="18"/>
  <c r="C21" i="18"/>
  <c r="F21" i="18"/>
  <c r="G21" i="18"/>
  <c r="H21" i="18"/>
  <c r="I21" i="18"/>
  <c r="J21" i="18"/>
  <c r="K21" i="18"/>
  <c r="L21" i="18"/>
  <c r="M21" i="18"/>
  <c r="N21" i="18"/>
  <c r="O21" i="18"/>
  <c r="P21" i="18"/>
  <c r="R21" i="18"/>
  <c r="S21" i="18"/>
  <c r="T21" i="18"/>
  <c r="C22" i="18"/>
  <c r="F22" i="18"/>
  <c r="G22" i="18"/>
  <c r="H22" i="18"/>
  <c r="I22" i="18"/>
  <c r="J22" i="18"/>
  <c r="K22" i="18"/>
  <c r="L22" i="18"/>
  <c r="M22" i="18"/>
  <c r="N22" i="18"/>
  <c r="O22" i="18"/>
  <c r="P22" i="18"/>
  <c r="R22" i="18"/>
  <c r="S22" i="18"/>
  <c r="T22" i="18"/>
  <c r="C319" i="10"/>
  <c r="C318" i="10"/>
  <c r="Q4" i="15" s="1"/>
  <c r="R4" i="15" s="1"/>
  <c r="C277" i="10"/>
  <c r="C278" i="10"/>
  <c r="C279" i="10"/>
  <c r="C280" i="10"/>
  <c r="C281" i="10"/>
  <c r="C282" i="10"/>
  <c r="C283" i="10"/>
  <c r="C285" i="10"/>
  <c r="C286" i="10"/>
  <c r="C288" i="10"/>
  <c r="C289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276" i="10"/>
  <c r="C274" i="10"/>
  <c r="C272" i="10"/>
  <c r="C270" i="10"/>
  <c r="C268" i="10"/>
  <c r="C266" i="10"/>
  <c r="C264" i="10"/>
  <c r="C262" i="10"/>
  <c r="C260" i="10"/>
  <c r="C258" i="10"/>
  <c r="C256" i="10"/>
  <c r="C254" i="10"/>
  <c r="C253" i="10"/>
  <c r="C250" i="10"/>
  <c r="C248" i="10"/>
  <c r="C246" i="10"/>
  <c r="C244" i="10"/>
  <c r="C242" i="10"/>
  <c r="C240" i="10"/>
  <c r="C238" i="10"/>
  <c r="C236" i="10"/>
  <c r="C234" i="10"/>
  <c r="C232" i="10"/>
  <c r="C230" i="10"/>
  <c r="C231" i="10"/>
  <c r="C233" i="10"/>
  <c r="C235" i="10"/>
  <c r="C237" i="10"/>
  <c r="C239" i="10"/>
  <c r="C241" i="10"/>
  <c r="C243" i="10"/>
  <c r="C245" i="10"/>
  <c r="C247" i="10"/>
  <c r="C249" i="10"/>
  <c r="C251" i="10"/>
  <c r="C252" i="10"/>
  <c r="C255" i="10"/>
  <c r="C257" i="10"/>
  <c r="C259" i="10"/>
  <c r="C261" i="10"/>
  <c r="C263" i="10"/>
  <c r="C265" i="10"/>
  <c r="C267" i="10"/>
  <c r="C269" i="10"/>
  <c r="C271" i="10"/>
  <c r="C273" i="10"/>
  <c r="C275" i="10"/>
  <c r="C229" i="10"/>
  <c r="C228" i="10"/>
  <c r="C222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82" i="10"/>
  <c r="Q27" i="11" s="1"/>
  <c r="R27" i="11" s="1"/>
  <c r="C183" i="10"/>
  <c r="Q28" i="11" s="1"/>
  <c r="R28" i="11" s="1"/>
  <c r="C184" i="10"/>
  <c r="Q29" i="11" s="1"/>
  <c r="R29" i="11" s="1"/>
  <c r="C185" i="10"/>
  <c r="C186" i="10"/>
  <c r="C187" i="10"/>
  <c r="C194" i="10"/>
  <c r="Q39" i="11" s="1"/>
  <c r="R39" i="11" s="1"/>
  <c r="C195" i="10"/>
  <c r="Q40" i="11" s="1"/>
  <c r="R40" i="11" s="1"/>
  <c r="C196" i="10"/>
  <c r="Q41" i="11" s="1"/>
  <c r="R41" i="11" s="1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138" i="10"/>
  <c r="C137" i="10"/>
  <c r="C70" i="10"/>
  <c r="Q11" i="18" s="1"/>
  <c r="C71" i="10"/>
  <c r="Q17" i="18" s="1"/>
  <c r="C72" i="10"/>
  <c r="Q23" i="18" s="1"/>
  <c r="C73" i="10"/>
  <c r="Q35" i="18" s="1"/>
  <c r="C74" i="10"/>
  <c r="C75" i="10"/>
  <c r="C76" i="10"/>
  <c r="Q12" i="18" s="1"/>
  <c r="C77" i="10"/>
  <c r="Q18" i="18" s="1"/>
  <c r="C78" i="10"/>
  <c r="Q24" i="18" s="1"/>
  <c r="C79" i="10"/>
  <c r="Q36" i="18" s="1"/>
  <c r="C80" i="10"/>
  <c r="C81" i="10"/>
  <c r="C82" i="10"/>
  <c r="Q13" i="18" s="1"/>
  <c r="C83" i="10"/>
  <c r="Q19" i="18" s="1"/>
  <c r="C84" i="10"/>
  <c r="Q25" i="18" s="1"/>
  <c r="C85" i="10"/>
  <c r="Q37" i="18" s="1"/>
  <c r="C86" i="10"/>
  <c r="C87" i="10"/>
  <c r="C88" i="10"/>
  <c r="Q14" i="18" s="1"/>
  <c r="C89" i="10"/>
  <c r="Q20" i="18" s="1"/>
  <c r="C90" i="10"/>
  <c r="Q26" i="18" s="1"/>
  <c r="C91" i="10"/>
  <c r="C92" i="10"/>
  <c r="Q38" i="18" s="1"/>
  <c r="C93" i="10"/>
  <c r="C94" i="10"/>
  <c r="Q50" i="18" s="1"/>
  <c r="C95" i="10"/>
  <c r="C96" i="10"/>
  <c r="Q77" i="18" s="1"/>
  <c r="C97" i="10"/>
  <c r="C98" i="10"/>
  <c r="Q15" i="18" s="1"/>
  <c r="C99" i="10"/>
  <c r="Q21" i="18" s="1"/>
  <c r="C100" i="10"/>
  <c r="Q27" i="18" s="1"/>
  <c r="C101" i="10"/>
  <c r="Q39" i="18" s="1"/>
  <c r="C102" i="10"/>
  <c r="C103" i="10"/>
  <c r="C104" i="10"/>
  <c r="Q16" i="18" s="1"/>
  <c r="C105" i="10"/>
  <c r="Q22" i="18" s="1"/>
  <c r="C106" i="10"/>
  <c r="Q28" i="18" s="1"/>
  <c r="C107" i="10"/>
  <c r="C108" i="10"/>
  <c r="Q40" i="18" s="1"/>
  <c r="C109" i="10"/>
  <c r="C110" i="10"/>
  <c r="Q52" i="18" s="1"/>
  <c r="C111" i="10"/>
  <c r="C112" i="10"/>
  <c r="Q64" i="18" s="1"/>
  <c r="C113" i="10"/>
  <c r="Q81" i="18" s="1"/>
  <c r="C114" i="10"/>
  <c r="Q82" i="18" s="1"/>
  <c r="C115" i="10"/>
  <c r="C116" i="10"/>
  <c r="C117" i="10"/>
  <c r="C118" i="10"/>
  <c r="C119" i="10"/>
  <c r="C120" i="10"/>
  <c r="C123" i="10"/>
  <c r="C125" i="10"/>
  <c r="C126" i="10"/>
  <c r="C127" i="10"/>
  <c r="C128" i="10"/>
  <c r="C129" i="10"/>
  <c r="Q47" i="18" s="1"/>
  <c r="C130" i="10"/>
  <c r="Q48" i="18" s="1"/>
  <c r="C131" i="10"/>
  <c r="Q49" i="18" s="1"/>
  <c r="C132" i="10"/>
  <c r="Q51" i="18" s="1"/>
  <c r="C133" i="10"/>
  <c r="Q74" i="18" s="1"/>
  <c r="C134" i="10"/>
  <c r="Q75" i="18" s="1"/>
  <c r="C135" i="10"/>
  <c r="Q76" i="18" s="1"/>
  <c r="C136" i="10"/>
  <c r="Q78" i="18" s="1"/>
  <c r="C69" i="10"/>
  <c r="Q60" i="18" l="1"/>
  <c r="Q61" i="18"/>
  <c r="Q63" i="18"/>
  <c r="E17" i="18"/>
  <c r="E81" i="18"/>
  <c r="E74" i="18"/>
  <c r="E23" i="18"/>
  <c r="E11" i="18"/>
  <c r="E35" i="18"/>
  <c r="E47" i="18"/>
  <c r="E59" i="18"/>
  <c r="Q79" i="18"/>
  <c r="Q59" i="18"/>
  <c r="Q62" i="18"/>
  <c r="E75" i="18"/>
  <c r="E79" i="18"/>
  <c r="E78" i="18"/>
  <c r="E60" i="18"/>
  <c r="E52" i="18"/>
  <c r="E64" i="18"/>
  <c r="E36" i="18"/>
  <c r="E39" i="18"/>
  <c r="E51" i="18"/>
  <c r="E63" i="18"/>
  <c r="E48" i="18"/>
  <c r="E40" i="18"/>
  <c r="E28" i="18"/>
  <c r="E16" i="18"/>
  <c r="E15" i="18"/>
  <c r="E12" i="18"/>
  <c r="E24" i="18"/>
  <c r="E27" i="18"/>
  <c r="E22" i="18"/>
  <c r="E18" i="18"/>
  <c r="E21" i="18"/>
  <c r="B124" i="10" l="1"/>
  <c r="C124" i="10" s="1"/>
  <c r="B122" i="10"/>
  <c r="P42" i="18" s="1"/>
  <c r="B121" i="10"/>
  <c r="C121" i="10" s="1"/>
  <c r="Q41" i="18" s="1"/>
  <c r="Q3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C73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C72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C71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C70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C69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C68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C67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C66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C58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C57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C56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C55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C54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C53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C46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C45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C44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C43" i="18"/>
  <c r="T42" i="18"/>
  <c r="S42" i="18"/>
  <c r="R42" i="18"/>
  <c r="O42" i="18"/>
  <c r="N42" i="18"/>
  <c r="M42" i="18"/>
  <c r="L42" i="18"/>
  <c r="K42" i="18"/>
  <c r="J42" i="18"/>
  <c r="I42" i="18"/>
  <c r="H42" i="18"/>
  <c r="G42" i="18"/>
  <c r="F42" i="18"/>
  <c r="C42" i="18"/>
  <c r="T41" i="18"/>
  <c r="S41" i="18"/>
  <c r="R41" i="18"/>
  <c r="P41" i="18"/>
  <c r="O41" i="18"/>
  <c r="N41" i="18"/>
  <c r="M41" i="18"/>
  <c r="L41" i="18"/>
  <c r="K41" i="18"/>
  <c r="J41" i="18"/>
  <c r="I41" i="18"/>
  <c r="H41" i="18"/>
  <c r="G41" i="18"/>
  <c r="F41" i="18"/>
  <c r="C41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C34" i="18"/>
  <c r="T33" i="18"/>
  <c r="S33" i="18"/>
  <c r="R33" i="18"/>
  <c r="P33" i="18"/>
  <c r="O33" i="18"/>
  <c r="N33" i="18"/>
  <c r="M33" i="18"/>
  <c r="L33" i="18"/>
  <c r="K33" i="18"/>
  <c r="J33" i="18"/>
  <c r="I33" i="18"/>
  <c r="H33" i="18"/>
  <c r="G33" i="18"/>
  <c r="F33" i="18"/>
  <c r="C33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C32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C31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C30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C29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C10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C9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C8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C7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C6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C122" i="10" l="1"/>
  <c r="Q42" i="18" s="1"/>
  <c r="E41" i="18"/>
  <c r="E53" i="18"/>
  <c r="E66" i="18"/>
  <c r="E5" i="18"/>
  <c r="E29" i="18"/>
  <c r="E73" i="18"/>
  <c r="E10" i="18"/>
  <c r="E34" i="18"/>
  <c r="E45" i="18"/>
  <c r="E54" i="18"/>
  <c r="E6" i="18"/>
  <c r="E30" i="18"/>
  <c r="E58" i="18"/>
  <c r="E9" i="18"/>
  <c r="E33" i="18"/>
  <c r="E42" i="18"/>
  <c r="E57" i="18"/>
  <c r="E46" i="18"/>
  <c r="C14" i="11" l="1"/>
  <c r="F14" i="11"/>
  <c r="G14" i="11"/>
  <c r="H14" i="11"/>
  <c r="I14" i="11"/>
  <c r="J14" i="11"/>
  <c r="K14" i="11"/>
  <c r="L14" i="11"/>
  <c r="M14" i="11"/>
  <c r="N14" i="11"/>
  <c r="O14" i="11"/>
  <c r="P14" i="11"/>
  <c r="S14" i="11"/>
  <c r="T14" i="11"/>
  <c r="U14" i="11"/>
  <c r="C15" i="11"/>
  <c r="F15" i="11"/>
  <c r="G15" i="11"/>
  <c r="H15" i="11"/>
  <c r="I15" i="11"/>
  <c r="J15" i="11"/>
  <c r="K15" i="11"/>
  <c r="L15" i="11"/>
  <c r="M15" i="11"/>
  <c r="N15" i="11"/>
  <c r="O15" i="11"/>
  <c r="P15" i="11"/>
  <c r="S15" i="11"/>
  <c r="T15" i="11"/>
  <c r="U15" i="11"/>
  <c r="U13" i="11"/>
  <c r="T13" i="11"/>
  <c r="S13" i="11"/>
  <c r="P13" i="11"/>
  <c r="O13" i="11"/>
  <c r="N13" i="11"/>
  <c r="M13" i="11"/>
  <c r="L13" i="11"/>
  <c r="K13" i="11"/>
  <c r="J13" i="11"/>
  <c r="I13" i="11"/>
  <c r="H13" i="11"/>
  <c r="G13" i="11"/>
  <c r="F13" i="11"/>
  <c r="C13" i="11"/>
  <c r="E13" i="11" l="1"/>
  <c r="C4" i="17" l="1"/>
  <c r="C15" i="16"/>
  <c r="C14" i="16"/>
  <c r="C13" i="16"/>
  <c r="C12" i="16"/>
  <c r="C11" i="16"/>
  <c r="C10" i="16"/>
  <c r="C9" i="16"/>
  <c r="C8" i="16"/>
  <c r="C7" i="16"/>
  <c r="C6" i="16"/>
  <c r="C5" i="16"/>
  <c r="C4" i="16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2" i="3"/>
  <c r="C11" i="3"/>
  <c r="C10" i="3"/>
  <c r="C9" i="3"/>
  <c r="C8" i="3"/>
  <c r="C7" i="3"/>
  <c r="C6" i="3"/>
  <c r="C5" i="3"/>
  <c r="C4" i="3"/>
  <c r="C4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32" i="11"/>
  <c r="C31" i="11"/>
  <c r="C30" i="11"/>
  <c r="C20" i="11"/>
  <c r="C19" i="11"/>
  <c r="C18" i="11"/>
  <c r="C17" i="11"/>
  <c r="C12" i="11"/>
  <c r="C11" i="11"/>
  <c r="C10" i="11"/>
  <c r="C9" i="11"/>
  <c r="C8" i="11"/>
  <c r="C7" i="11"/>
  <c r="C6" i="11"/>
  <c r="C5" i="11"/>
  <c r="C4" i="11"/>
  <c r="C72" i="2"/>
  <c r="C71" i="2"/>
  <c r="C70" i="2"/>
  <c r="C69" i="2"/>
  <c r="C68" i="2"/>
  <c r="C67" i="2"/>
  <c r="C66" i="2"/>
  <c r="C65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U53" i="11" l="1"/>
  <c r="T53" i="11"/>
  <c r="S53" i="11"/>
  <c r="P53" i="11"/>
  <c r="O53" i="11"/>
  <c r="N53" i="11"/>
  <c r="M53" i="11"/>
  <c r="L53" i="11"/>
  <c r="K53" i="11"/>
  <c r="J53" i="11"/>
  <c r="I53" i="11"/>
  <c r="H53" i="11"/>
  <c r="G53" i="11"/>
  <c r="F53" i="11"/>
  <c r="U52" i="11"/>
  <c r="T52" i="11"/>
  <c r="S52" i="11"/>
  <c r="P52" i="11"/>
  <c r="O52" i="11"/>
  <c r="N52" i="11"/>
  <c r="M52" i="11"/>
  <c r="L52" i="11"/>
  <c r="K52" i="11"/>
  <c r="J52" i="11"/>
  <c r="I52" i="11"/>
  <c r="H52" i="11"/>
  <c r="G52" i="11"/>
  <c r="F52" i="11"/>
  <c r="U51" i="11"/>
  <c r="T51" i="11"/>
  <c r="S51" i="11"/>
  <c r="P51" i="11"/>
  <c r="O51" i="11"/>
  <c r="N51" i="11"/>
  <c r="M51" i="11"/>
  <c r="L51" i="11"/>
  <c r="K51" i="11"/>
  <c r="J51" i="11"/>
  <c r="I51" i="11"/>
  <c r="H51" i="11"/>
  <c r="G51" i="11"/>
  <c r="F51" i="11"/>
  <c r="E51" i="11" l="1"/>
  <c r="U4" i="17"/>
  <c r="T4" i="17"/>
  <c r="S4" i="17"/>
  <c r="Q4" i="17"/>
  <c r="P4" i="17"/>
  <c r="O4" i="17"/>
  <c r="N4" i="17"/>
  <c r="M4" i="17"/>
  <c r="L4" i="17"/>
  <c r="K4" i="17"/>
  <c r="J4" i="17"/>
  <c r="I4" i="17"/>
  <c r="H4" i="17"/>
  <c r="G4" i="17"/>
  <c r="F4" i="17"/>
  <c r="R4" i="17" l="1"/>
  <c r="E4" i="17"/>
  <c r="C356" i="10" l="1"/>
  <c r="C357" i="10"/>
  <c r="C355" i="10"/>
  <c r="C352" i="10"/>
  <c r="C353" i="10"/>
  <c r="C354" i="10"/>
  <c r="C349" i="10"/>
  <c r="C350" i="10"/>
  <c r="C351" i="10"/>
  <c r="C347" i="10"/>
  <c r="C348" i="10"/>
  <c r="C346" i="10"/>
  <c r="U15" i="16" l="1"/>
  <c r="T15" i="16"/>
  <c r="S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U14" i="16"/>
  <c r="T14" i="16"/>
  <c r="S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U13" i="16"/>
  <c r="T13" i="16"/>
  <c r="S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U12" i="16"/>
  <c r="T12" i="16"/>
  <c r="S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U11" i="16"/>
  <c r="T11" i="16"/>
  <c r="S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U10" i="16"/>
  <c r="T10" i="16"/>
  <c r="S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U9" i="16"/>
  <c r="T9" i="16"/>
  <c r="S9" i="16"/>
  <c r="Q9" i="16"/>
  <c r="P9" i="16"/>
  <c r="O9" i="16"/>
  <c r="N9" i="16"/>
  <c r="M9" i="16"/>
  <c r="L9" i="16"/>
  <c r="K9" i="16"/>
  <c r="J9" i="16"/>
  <c r="I9" i="16"/>
  <c r="H9" i="16"/>
  <c r="G9" i="16"/>
  <c r="F9" i="16"/>
  <c r="U8" i="16"/>
  <c r="T8" i="16"/>
  <c r="S8" i="16"/>
  <c r="Q8" i="16"/>
  <c r="P8" i="16"/>
  <c r="O8" i="16"/>
  <c r="N8" i="16"/>
  <c r="M8" i="16"/>
  <c r="L8" i="16"/>
  <c r="K8" i="16"/>
  <c r="J8" i="16"/>
  <c r="I8" i="16"/>
  <c r="H8" i="16"/>
  <c r="G8" i="16"/>
  <c r="F8" i="16"/>
  <c r="U7" i="16"/>
  <c r="T7" i="16"/>
  <c r="S7" i="16"/>
  <c r="Q7" i="16"/>
  <c r="P7" i="16"/>
  <c r="O7" i="16"/>
  <c r="N7" i="16"/>
  <c r="M7" i="16"/>
  <c r="L7" i="16"/>
  <c r="K7" i="16"/>
  <c r="J7" i="16"/>
  <c r="I7" i="16"/>
  <c r="H7" i="16"/>
  <c r="G7" i="16"/>
  <c r="F7" i="16"/>
  <c r="U6" i="16"/>
  <c r="T6" i="16"/>
  <c r="S6" i="16"/>
  <c r="Q6" i="16"/>
  <c r="P6" i="16"/>
  <c r="O6" i="16"/>
  <c r="N6" i="16"/>
  <c r="M6" i="16"/>
  <c r="L6" i="16"/>
  <c r="K6" i="16"/>
  <c r="J6" i="16"/>
  <c r="I6" i="16"/>
  <c r="H6" i="16"/>
  <c r="G6" i="16"/>
  <c r="F6" i="16"/>
  <c r="U5" i="16"/>
  <c r="T5" i="16"/>
  <c r="S5" i="16"/>
  <c r="Q5" i="16"/>
  <c r="P5" i="16"/>
  <c r="O5" i="16"/>
  <c r="N5" i="16"/>
  <c r="M5" i="16"/>
  <c r="L5" i="16"/>
  <c r="K5" i="16"/>
  <c r="J5" i="16"/>
  <c r="I5" i="16"/>
  <c r="H5" i="16"/>
  <c r="G5" i="16"/>
  <c r="F5" i="16"/>
  <c r="U4" i="16"/>
  <c r="T4" i="16"/>
  <c r="S4" i="16"/>
  <c r="Q4" i="16"/>
  <c r="P4" i="16"/>
  <c r="O4" i="16"/>
  <c r="N4" i="16"/>
  <c r="M4" i="16"/>
  <c r="L4" i="16"/>
  <c r="K4" i="16"/>
  <c r="J4" i="16"/>
  <c r="I4" i="16"/>
  <c r="H4" i="16"/>
  <c r="G4" i="16"/>
  <c r="F4" i="16"/>
  <c r="E7" i="16" l="1"/>
  <c r="E10" i="16"/>
  <c r="E4" i="16"/>
  <c r="E13" i="16"/>
  <c r="R4" i="16"/>
  <c r="R7" i="16"/>
  <c r="R8" i="16"/>
  <c r="R9" i="16"/>
  <c r="R10" i="16"/>
  <c r="R11" i="16"/>
  <c r="R12" i="16"/>
  <c r="R13" i="16"/>
  <c r="R14" i="16"/>
  <c r="R15" i="16"/>
  <c r="R5" i="16"/>
  <c r="R6" i="16"/>
  <c r="C3" i="10" l="1"/>
  <c r="C4" i="10"/>
  <c r="C5" i="10"/>
  <c r="C6" i="10"/>
  <c r="Q7" i="14" l="1"/>
  <c r="Q18" i="14"/>
  <c r="Q25" i="14"/>
  <c r="Q26" i="14"/>
  <c r="Q27" i="14"/>
  <c r="Q8" i="14"/>
  <c r="Q9" i="14"/>
  <c r="U27" i="14"/>
  <c r="T27" i="14"/>
  <c r="S27" i="14"/>
  <c r="P27" i="14"/>
  <c r="O27" i="14"/>
  <c r="N27" i="14"/>
  <c r="M27" i="14"/>
  <c r="L27" i="14"/>
  <c r="K27" i="14"/>
  <c r="J27" i="14"/>
  <c r="I27" i="14"/>
  <c r="H27" i="14"/>
  <c r="G27" i="14"/>
  <c r="F27" i="14"/>
  <c r="U26" i="14"/>
  <c r="T26" i="14"/>
  <c r="S26" i="14"/>
  <c r="P26" i="14"/>
  <c r="O26" i="14"/>
  <c r="N26" i="14"/>
  <c r="M26" i="14"/>
  <c r="L26" i="14"/>
  <c r="K26" i="14"/>
  <c r="J26" i="14"/>
  <c r="I26" i="14"/>
  <c r="H26" i="14"/>
  <c r="G26" i="14"/>
  <c r="F26" i="14"/>
  <c r="U25" i="14"/>
  <c r="T25" i="14"/>
  <c r="S25" i="14"/>
  <c r="P25" i="14"/>
  <c r="O25" i="14"/>
  <c r="N25" i="14"/>
  <c r="M25" i="14"/>
  <c r="L25" i="14"/>
  <c r="K25" i="14"/>
  <c r="J25" i="14"/>
  <c r="I25" i="14"/>
  <c r="H25" i="14"/>
  <c r="G25" i="14"/>
  <c r="F25" i="14"/>
  <c r="U18" i="14"/>
  <c r="T18" i="14"/>
  <c r="S18" i="14"/>
  <c r="P18" i="14"/>
  <c r="O18" i="14"/>
  <c r="N18" i="14"/>
  <c r="M18" i="14"/>
  <c r="L18" i="14"/>
  <c r="K18" i="14"/>
  <c r="J18" i="14"/>
  <c r="I18" i="14"/>
  <c r="H18" i="14"/>
  <c r="G18" i="14"/>
  <c r="F18" i="14"/>
  <c r="U17" i="14"/>
  <c r="T17" i="14"/>
  <c r="S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U16" i="14"/>
  <c r="T16" i="14"/>
  <c r="S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U9" i="14"/>
  <c r="T9" i="14"/>
  <c r="S9" i="14"/>
  <c r="P9" i="14"/>
  <c r="O9" i="14"/>
  <c r="N9" i="14"/>
  <c r="M9" i="14"/>
  <c r="L9" i="14"/>
  <c r="K9" i="14"/>
  <c r="J9" i="14"/>
  <c r="I9" i="14"/>
  <c r="H9" i="14"/>
  <c r="G9" i="14"/>
  <c r="F9" i="14"/>
  <c r="U8" i="14"/>
  <c r="T8" i="14"/>
  <c r="S8" i="14"/>
  <c r="P8" i="14"/>
  <c r="O8" i="14"/>
  <c r="N8" i="14"/>
  <c r="M8" i="14"/>
  <c r="L8" i="14"/>
  <c r="K8" i="14"/>
  <c r="J8" i="14"/>
  <c r="I8" i="14"/>
  <c r="H8" i="14"/>
  <c r="G8" i="14"/>
  <c r="F8" i="14"/>
  <c r="U7" i="14"/>
  <c r="T7" i="14"/>
  <c r="S7" i="14"/>
  <c r="P7" i="14"/>
  <c r="O7" i="14"/>
  <c r="N7" i="14"/>
  <c r="M7" i="14"/>
  <c r="L7" i="14"/>
  <c r="K7" i="14"/>
  <c r="J7" i="14"/>
  <c r="I7" i="14"/>
  <c r="H7" i="14"/>
  <c r="G7" i="14"/>
  <c r="F7" i="14"/>
  <c r="R9" i="14" l="1"/>
  <c r="R16" i="14"/>
  <c r="R26" i="14"/>
  <c r="R27" i="14"/>
  <c r="E25" i="14"/>
  <c r="R25" i="14"/>
  <c r="R18" i="14"/>
  <c r="R17" i="14"/>
  <c r="E16" i="14"/>
  <c r="R8" i="14"/>
  <c r="E7" i="14"/>
  <c r="R7" i="14"/>
  <c r="N66" i="2"/>
  <c r="M66" i="2"/>
  <c r="L66" i="2"/>
  <c r="K66" i="2"/>
  <c r="J66" i="2"/>
  <c r="I66" i="2"/>
  <c r="H66" i="2"/>
  <c r="G66" i="2"/>
  <c r="F66" i="2"/>
  <c r="N65" i="2"/>
  <c r="M65" i="2"/>
  <c r="L65" i="2"/>
  <c r="K65" i="2"/>
  <c r="J65" i="2"/>
  <c r="I65" i="2"/>
  <c r="H65" i="2"/>
  <c r="G65" i="2"/>
  <c r="F65" i="2"/>
  <c r="U66" i="2"/>
  <c r="T66" i="2"/>
  <c r="S66" i="2"/>
  <c r="P66" i="2"/>
  <c r="O66" i="2"/>
  <c r="U65" i="2"/>
  <c r="T65" i="2"/>
  <c r="S65" i="2"/>
  <c r="P65" i="2"/>
  <c r="O65" i="2"/>
  <c r="U24" i="14"/>
  <c r="T24" i="14"/>
  <c r="S24" i="14"/>
  <c r="P24" i="14"/>
  <c r="O24" i="14"/>
  <c r="N24" i="14"/>
  <c r="M24" i="14"/>
  <c r="L24" i="14"/>
  <c r="K24" i="14"/>
  <c r="J24" i="14"/>
  <c r="I24" i="14"/>
  <c r="H24" i="14"/>
  <c r="G24" i="14"/>
  <c r="F24" i="14"/>
  <c r="U23" i="14"/>
  <c r="T23" i="14"/>
  <c r="S23" i="14"/>
  <c r="P23" i="14"/>
  <c r="O23" i="14"/>
  <c r="N23" i="14"/>
  <c r="M23" i="14"/>
  <c r="L23" i="14"/>
  <c r="K23" i="14"/>
  <c r="J23" i="14"/>
  <c r="I23" i="14"/>
  <c r="H23" i="14"/>
  <c r="G23" i="14"/>
  <c r="F23" i="14"/>
  <c r="U22" i="14"/>
  <c r="T22" i="14"/>
  <c r="S22" i="14"/>
  <c r="P22" i="14"/>
  <c r="O22" i="14"/>
  <c r="N22" i="14"/>
  <c r="M22" i="14"/>
  <c r="L22" i="14"/>
  <c r="K22" i="14"/>
  <c r="J22" i="14"/>
  <c r="I22" i="14"/>
  <c r="H22" i="14"/>
  <c r="G22" i="14"/>
  <c r="F22" i="14"/>
  <c r="U15" i="14"/>
  <c r="T15" i="14"/>
  <c r="S15" i="14"/>
  <c r="P15" i="14"/>
  <c r="O15" i="14"/>
  <c r="N15" i="14"/>
  <c r="M15" i="14"/>
  <c r="L15" i="14"/>
  <c r="K15" i="14"/>
  <c r="J15" i="14"/>
  <c r="I15" i="14"/>
  <c r="H15" i="14"/>
  <c r="G15" i="14"/>
  <c r="F15" i="14"/>
  <c r="U14" i="14"/>
  <c r="T14" i="14"/>
  <c r="S14" i="14"/>
  <c r="P14" i="14"/>
  <c r="O14" i="14"/>
  <c r="N14" i="14"/>
  <c r="M14" i="14"/>
  <c r="L14" i="14"/>
  <c r="K14" i="14"/>
  <c r="J14" i="14"/>
  <c r="I14" i="14"/>
  <c r="H14" i="14"/>
  <c r="G14" i="14"/>
  <c r="F14" i="14"/>
  <c r="U13" i="14"/>
  <c r="T13" i="14"/>
  <c r="S13" i="14"/>
  <c r="P13" i="14"/>
  <c r="O13" i="14"/>
  <c r="N13" i="14"/>
  <c r="M13" i="14"/>
  <c r="L13" i="14"/>
  <c r="K13" i="14"/>
  <c r="J13" i="14"/>
  <c r="I13" i="14"/>
  <c r="H13" i="14"/>
  <c r="G13" i="14"/>
  <c r="F13" i="14"/>
  <c r="U12" i="14"/>
  <c r="T12" i="14"/>
  <c r="S12" i="14"/>
  <c r="P12" i="14"/>
  <c r="O12" i="14"/>
  <c r="N12" i="14"/>
  <c r="M12" i="14"/>
  <c r="L12" i="14"/>
  <c r="K12" i="14"/>
  <c r="J12" i="14"/>
  <c r="I12" i="14"/>
  <c r="H12" i="14"/>
  <c r="G12" i="14"/>
  <c r="F12" i="14"/>
  <c r="U11" i="14"/>
  <c r="T11" i="14"/>
  <c r="S11" i="14"/>
  <c r="P11" i="14"/>
  <c r="O11" i="14"/>
  <c r="N11" i="14"/>
  <c r="M11" i="14"/>
  <c r="L11" i="14"/>
  <c r="K11" i="14"/>
  <c r="J11" i="14"/>
  <c r="I11" i="14"/>
  <c r="H11" i="14"/>
  <c r="G11" i="14"/>
  <c r="F11" i="14"/>
  <c r="U10" i="14"/>
  <c r="T10" i="14"/>
  <c r="S10" i="14"/>
  <c r="P10" i="14"/>
  <c r="O10" i="14"/>
  <c r="N10" i="14"/>
  <c r="M10" i="14"/>
  <c r="L10" i="14"/>
  <c r="K10" i="14"/>
  <c r="J10" i="14"/>
  <c r="I10" i="14"/>
  <c r="H10" i="14"/>
  <c r="G10" i="14"/>
  <c r="F10" i="14"/>
  <c r="Q24" i="14"/>
  <c r="Q23" i="14"/>
  <c r="Q22" i="14"/>
  <c r="Q12" i="14"/>
  <c r="Q11" i="14"/>
  <c r="Q10" i="14"/>
  <c r="E65" i="2" l="1"/>
  <c r="E13" i="14"/>
  <c r="R23" i="14"/>
  <c r="R24" i="14"/>
  <c r="E22" i="14"/>
  <c r="R22" i="14"/>
  <c r="R12" i="14"/>
  <c r="R11" i="14"/>
  <c r="E10" i="14"/>
  <c r="R10" i="14"/>
  <c r="Q5" i="15"/>
  <c r="U5" i="15"/>
  <c r="T5" i="15"/>
  <c r="S5" i="15"/>
  <c r="P5" i="15"/>
  <c r="O5" i="15"/>
  <c r="N5" i="15"/>
  <c r="M5" i="15"/>
  <c r="L5" i="15"/>
  <c r="K5" i="15"/>
  <c r="J5" i="15"/>
  <c r="I5" i="15"/>
  <c r="H5" i="15"/>
  <c r="G5" i="15"/>
  <c r="F5" i="15"/>
  <c r="R5" i="15" l="1"/>
  <c r="E5" i="15"/>
  <c r="N21" i="14"/>
  <c r="M21" i="14"/>
  <c r="L21" i="14"/>
  <c r="K21" i="14"/>
  <c r="J21" i="14"/>
  <c r="I21" i="14"/>
  <c r="H21" i="14"/>
  <c r="G21" i="14"/>
  <c r="F21" i="14"/>
  <c r="N20" i="14"/>
  <c r="M20" i="14"/>
  <c r="L20" i="14"/>
  <c r="K20" i="14"/>
  <c r="J20" i="14"/>
  <c r="I20" i="14"/>
  <c r="H20" i="14"/>
  <c r="G20" i="14"/>
  <c r="F20" i="14"/>
  <c r="N19" i="14"/>
  <c r="M19" i="14"/>
  <c r="L19" i="14"/>
  <c r="K19" i="14"/>
  <c r="J19" i="14"/>
  <c r="I19" i="14"/>
  <c r="H19" i="14"/>
  <c r="G19" i="14"/>
  <c r="F19" i="14"/>
  <c r="U21" i="14"/>
  <c r="T21" i="14"/>
  <c r="S21" i="14"/>
  <c r="P21" i="14"/>
  <c r="O21" i="14"/>
  <c r="U20" i="14"/>
  <c r="T20" i="14"/>
  <c r="S20" i="14"/>
  <c r="P20" i="14"/>
  <c r="O20" i="14"/>
  <c r="U19" i="14"/>
  <c r="T19" i="14"/>
  <c r="S19" i="14"/>
  <c r="P19" i="14"/>
  <c r="O19" i="14"/>
  <c r="Q30" i="14"/>
  <c r="Q6" i="14"/>
  <c r="C46" i="10"/>
  <c r="Q66" i="2" s="1"/>
  <c r="R66" i="2" s="1"/>
  <c r="C45" i="10"/>
  <c r="Q65" i="2" s="1"/>
  <c r="R65" i="2" s="1"/>
  <c r="U30" i="14"/>
  <c r="T30" i="14"/>
  <c r="S30" i="14"/>
  <c r="P30" i="14"/>
  <c r="O30" i="14"/>
  <c r="N30" i="14"/>
  <c r="M30" i="14"/>
  <c r="L30" i="14"/>
  <c r="K30" i="14"/>
  <c r="J30" i="14"/>
  <c r="I30" i="14"/>
  <c r="H30" i="14"/>
  <c r="G30" i="14"/>
  <c r="F30" i="14"/>
  <c r="U29" i="14"/>
  <c r="T29" i="14"/>
  <c r="S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U28" i="14"/>
  <c r="T28" i="14"/>
  <c r="S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U6" i="14"/>
  <c r="T6" i="14"/>
  <c r="S6" i="14"/>
  <c r="P6" i="14"/>
  <c r="O6" i="14"/>
  <c r="N6" i="14"/>
  <c r="M6" i="14"/>
  <c r="L6" i="14"/>
  <c r="K6" i="14"/>
  <c r="J6" i="14"/>
  <c r="I6" i="14"/>
  <c r="H6" i="14"/>
  <c r="G6" i="14"/>
  <c r="F6" i="14"/>
  <c r="U5" i="14"/>
  <c r="T5" i="14"/>
  <c r="S5" i="14"/>
  <c r="Q5" i="14"/>
  <c r="P5" i="14"/>
  <c r="O5" i="14"/>
  <c r="N5" i="14"/>
  <c r="M5" i="14"/>
  <c r="L5" i="14"/>
  <c r="K5" i="14"/>
  <c r="J5" i="14"/>
  <c r="I5" i="14"/>
  <c r="H5" i="14"/>
  <c r="G5" i="14"/>
  <c r="F5" i="14"/>
  <c r="U4" i="14"/>
  <c r="T4" i="14"/>
  <c r="S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 l="1"/>
  <c r="Q19" i="14"/>
  <c r="R19" i="14" s="1"/>
  <c r="Q13" i="14"/>
  <c r="R13" i="14" s="1"/>
  <c r="Q20" i="14"/>
  <c r="R20" i="14" s="1"/>
  <c r="Q14" i="14"/>
  <c r="R14" i="14" s="1"/>
  <c r="Q21" i="14"/>
  <c r="R21" i="14" s="1"/>
  <c r="Q15" i="14"/>
  <c r="R15" i="14" s="1"/>
  <c r="E19" i="14"/>
  <c r="R4" i="14"/>
  <c r="R5" i="14"/>
  <c r="R6" i="14"/>
  <c r="R28" i="14"/>
  <c r="R29" i="14"/>
  <c r="R30" i="14"/>
  <c r="E28" i="14"/>
  <c r="F60" i="2"/>
  <c r="G60" i="2"/>
  <c r="H60" i="2"/>
  <c r="I60" i="2"/>
  <c r="J60" i="2"/>
  <c r="K60" i="2"/>
  <c r="L60" i="2"/>
  <c r="M60" i="2"/>
  <c r="N60" i="2"/>
  <c r="F61" i="2"/>
  <c r="G61" i="2"/>
  <c r="H61" i="2"/>
  <c r="I61" i="2"/>
  <c r="J61" i="2"/>
  <c r="K61" i="2"/>
  <c r="L61" i="2"/>
  <c r="M61" i="2"/>
  <c r="N61" i="2"/>
  <c r="F54" i="2"/>
  <c r="G54" i="2"/>
  <c r="H54" i="2"/>
  <c r="I54" i="2"/>
  <c r="J54" i="2"/>
  <c r="K54" i="2"/>
  <c r="L54" i="2"/>
  <c r="M54" i="2"/>
  <c r="N54" i="2"/>
  <c r="F55" i="2"/>
  <c r="G55" i="2"/>
  <c r="H55" i="2"/>
  <c r="I55" i="2"/>
  <c r="J55" i="2"/>
  <c r="K55" i="2"/>
  <c r="L55" i="2"/>
  <c r="M55" i="2"/>
  <c r="N55" i="2"/>
  <c r="F48" i="2"/>
  <c r="G48" i="2"/>
  <c r="H48" i="2"/>
  <c r="I48" i="2"/>
  <c r="J48" i="2"/>
  <c r="K48" i="2"/>
  <c r="L48" i="2"/>
  <c r="M48" i="2"/>
  <c r="N48" i="2"/>
  <c r="F49" i="2"/>
  <c r="G49" i="2"/>
  <c r="H49" i="2"/>
  <c r="I49" i="2"/>
  <c r="J49" i="2"/>
  <c r="K49" i="2"/>
  <c r="L49" i="2"/>
  <c r="M49" i="2"/>
  <c r="N49" i="2"/>
  <c r="F42" i="2"/>
  <c r="G42" i="2"/>
  <c r="H42" i="2"/>
  <c r="I42" i="2"/>
  <c r="J42" i="2"/>
  <c r="K42" i="2"/>
  <c r="L42" i="2"/>
  <c r="M42" i="2"/>
  <c r="N42" i="2"/>
  <c r="F43" i="2"/>
  <c r="G43" i="2"/>
  <c r="H43" i="2"/>
  <c r="I43" i="2"/>
  <c r="J43" i="2"/>
  <c r="K43" i="2"/>
  <c r="L43" i="2"/>
  <c r="M43" i="2"/>
  <c r="N43" i="2"/>
  <c r="F36" i="2"/>
  <c r="G36" i="2"/>
  <c r="H36" i="2"/>
  <c r="I36" i="2"/>
  <c r="J36" i="2"/>
  <c r="K36" i="2"/>
  <c r="L36" i="2"/>
  <c r="M36" i="2"/>
  <c r="N36" i="2"/>
  <c r="F37" i="2"/>
  <c r="G37" i="2"/>
  <c r="H37" i="2"/>
  <c r="I37" i="2"/>
  <c r="J37" i="2"/>
  <c r="K37" i="2"/>
  <c r="L37" i="2"/>
  <c r="M37" i="2"/>
  <c r="N37" i="2"/>
  <c r="F30" i="2"/>
  <c r="G30" i="2"/>
  <c r="H30" i="2"/>
  <c r="I30" i="2"/>
  <c r="J30" i="2"/>
  <c r="K30" i="2"/>
  <c r="L30" i="2"/>
  <c r="M30" i="2"/>
  <c r="N30" i="2"/>
  <c r="F31" i="2"/>
  <c r="G31" i="2"/>
  <c r="H31" i="2"/>
  <c r="I31" i="2"/>
  <c r="J31" i="2"/>
  <c r="K31" i="2"/>
  <c r="L31" i="2"/>
  <c r="M31" i="2"/>
  <c r="N31" i="2"/>
  <c r="F24" i="2"/>
  <c r="G24" i="2"/>
  <c r="H24" i="2"/>
  <c r="I24" i="2"/>
  <c r="J24" i="2"/>
  <c r="K24" i="2"/>
  <c r="L24" i="2"/>
  <c r="M24" i="2"/>
  <c r="N24" i="2"/>
  <c r="F25" i="2"/>
  <c r="G25" i="2"/>
  <c r="H25" i="2"/>
  <c r="I25" i="2"/>
  <c r="J25" i="2"/>
  <c r="K25" i="2"/>
  <c r="L25" i="2"/>
  <c r="M25" i="2"/>
  <c r="N25" i="2"/>
  <c r="F18" i="2"/>
  <c r="G18" i="2"/>
  <c r="H18" i="2"/>
  <c r="I18" i="2"/>
  <c r="J18" i="2"/>
  <c r="K18" i="2"/>
  <c r="L18" i="2"/>
  <c r="M18" i="2"/>
  <c r="N18" i="2"/>
  <c r="F19" i="2"/>
  <c r="G19" i="2"/>
  <c r="H19" i="2"/>
  <c r="I19" i="2"/>
  <c r="J19" i="2"/>
  <c r="K19" i="2"/>
  <c r="L19" i="2"/>
  <c r="M19" i="2"/>
  <c r="N19" i="2"/>
  <c r="F12" i="2"/>
  <c r="G12" i="2"/>
  <c r="H12" i="2"/>
  <c r="I12" i="2"/>
  <c r="J12" i="2"/>
  <c r="K12" i="2"/>
  <c r="L12" i="2"/>
  <c r="M12" i="2"/>
  <c r="N12" i="2"/>
  <c r="F13" i="2"/>
  <c r="G13" i="2"/>
  <c r="H13" i="2"/>
  <c r="I13" i="2"/>
  <c r="J13" i="2"/>
  <c r="K13" i="2"/>
  <c r="L13" i="2"/>
  <c r="M13" i="2"/>
  <c r="N13" i="2"/>
  <c r="F6" i="2"/>
  <c r="G6" i="2"/>
  <c r="H6" i="2"/>
  <c r="I6" i="2"/>
  <c r="J6" i="2"/>
  <c r="K6" i="2"/>
  <c r="L6" i="2"/>
  <c r="M6" i="2"/>
  <c r="N6" i="2"/>
  <c r="F7" i="2"/>
  <c r="G7" i="2"/>
  <c r="H7" i="2"/>
  <c r="I7" i="2"/>
  <c r="J7" i="2"/>
  <c r="K7" i="2"/>
  <c r="L7" i="2"/>
  <c r="M7" i="2"/>
  <c r="N7" i="2"/>
  <c r="O54" i="2" l="1"/>
  <c r="O55" i="2"/>
  <c r="P54" i="2"/>
  <c r="S54" i="2"/>
  <c r="T54" i="2"/>
  <c r="U54" i="2"/>
  <c r="P55" i="2"/>
  <c r="S55" i="2"/>
  <c r="T55" i="2"/>
  <c r="U55" i="2"/>
  <c r="O60" i="2" l="1"/>
  <c r="P60" i="2"/>
  <c r="S60" i="2"/>
  <c r="T60" i="2"/>
  <c r="U60" i="2"/>
  <c r="O61" i="2"/>
  <c r="P61" i="2"/>
  <c r="S61" i="2"/>
  <c r="T61" i="2"/>
  <c r="U61" i="2"/>
  <c r="O48" i="2"/>
  <c r="P48" i="2"/>
  <c r="S48" i="2"/>
  <c r="T48" i="2"/>
  <c r="U48" i="2"/>
  <c r="O49" i="2"/>
  <c r="P49" i="2"/>
  <c r="S49" i="2"/>
  <c r="T49" i="2"/>
  <c r="U49" i="2"/>
  <c r="O42" i="2"/>
  <c r="P42" i="2"/>
  <c r="S42" i="2"/>
  <c r="T42" i="2"/>
  <c r="U42" i="2"/>
  <c r="O43" i="2"/>
  <c r="P43" i="2"/>
  <c r="S43" i="2"/>
  <c r="T43" i="2"/>
  <c r="U43" i="2"/>
  <c r="O36" i="2"/>
  <c r="P36" i="2"/>
  <c r="S36" i="2"/>
  <c r="T36" i="2"/>
  <c r="U36" i="2"/>
  <c r="O37" i="2"/>
  <c r="P37" i="2"/>
  <c r="S37" i="2"/>
  <c r="T37" i="2"/>
  <c r="U37" i="2"/>
  <c r="O30" i="2"/>
  <c r="P30" i="2"/>
  <c r="S30" i="2"/>
  <c r="T30" i="2"/>
  <c r="U30" i="2"/>
  <c r="O31" i="2"/>
  <c r="P31" i="2"/>
  <c r="S31" i="2"/>
  <c r="T31" i="2"/>
  <c r="U31" i="2"/>
  <c r="O24" i="2"/>
  <c r="P24" i="2"/>
  <c r="S24" i="2"/>
  <c r="T24" i="2"/>
  <c r="U24" i="2"/>
  <c r="O25" i="2"/>
  <c r="P25" i="2"/>
  <c r="S25" i="2"/>
  <c r="T25" i="2"/>
  <c r="U25" i="2"/>
  <c r="O18" i="2"/>
  <c r="P18" i="2"/>
  <c r="S18" i="2"/>
  <c r="T18" i="2"/>
  <c r="U18" i="2"/>
  <c r="O19" i="2"/>
  <c r="P19" i="2"/>
  <c r="S19" i="2"/>
  <c r="T19" i="2"/>
  <c r="U19" i="2"/>
  <c r="O12" i="2"/>
  <c r="P12" i="2"/>
  <c r="S12" i="2"/>
  <c r="T12" i="2"/>
  <c r="U12" i="2"/>
  <c r="O13" i="2"/>
  <c r="P13" i="2"/>
  <c r="S13" i="2"/>
  <c r="T13" i="2"/>
  <c r="U13" i="2"/>
  <c r="O6" i="2"/>
  <c r="P6" i="2"/>
  <c r="S6" i="2"/>
  <c r="T6" i="2"/>
  <c r="U6" i="2"/>
  <c r="O7" i="2"/>
  <c r="P7" i="2"/>
  <c r="S7" i="2"/>
  <c r="T7" i="2"/>
  <c r="U7" i="2"/>
  <c r="C44" i="10" l="1"/>
  <c r="C43" i="10"/>
  <c r="C40" i="10"/>
  <c r="C39" i="10"/>
  <c r="C42" i="10"/>
  <c r="C41" i="10"/>
  <c r="C38" i="10"/>
  <c r="C37" i="10"/>
  <c r="C24" i="10"/>
  <c r="Q37" i="2" s="1"/>
  <c r="R37" i="2" s="1"/>
  <c r="C23" i="10"/>
  <c r="Q31" i="2" s="1"/>
  <c r="R31" i="2" s="1"/>
  <c r="C28" i="10"/>
  <c r="Q61" i="2" s="1"/>
  <c r="R61" i="2" s="1"/>
  <c r="C27" i="10"/>
  <c r="Q55" i="2" s="1"/>
  <c r="R55" i="2" s="1"/>
  <c r="C26" i="10"/>
  <c r="Q49" i="2" s="1"/>
  <c r="R49" i="2" s="1"/>
  <c r="C25" i="10"/>
  <c r="Q43" i="2" s="1"/>
  <c r="R43" i="2" s="1"/>
  <c r="C22" i="10"/>
  <c r="Q25" i="2" s="1"/>
  <c r="R25" i="2" s="1"/>
  <c r="C21" i="10"/>
  <c r="Q19" i="2" s="1"/>
  <c r="R19" i="2" s="1"/>
  <c r="C36" i="10"/>
  <c r="C20" i="10"/>
  <c r="Q13" i="2" s="1"/>
  <c r="R13" i="2" s="1"/>
  <c r="C35" i="10"/>
  <c r="C19" i="10"/>
  <c r="Q7" i="2" s="1"/>
  <c r="R7" i="2" s="1"/>
  <c r="Q25" i="3" l="1"/>
  <c r="U30" i="3"/>
  <c r="T30" i="3"/>
  <c r="S30" i="3"/>
  <c r="P30" i="3"/>
  <c r="O30" i="3"/>
  <c r="N30" i="3"/>
  <c r="M30" i="3"/>
  <c r="L30" i="3"/>
  <c r="K30" i="3"/>
  <c r="J30" i="3"/>
  <c r="I30" i="3"/>
  <c r="H30" i="3"/>
  <c r="G30" i="3"/>
  <c r="F30" i="3"/>
  <c r="U29" i="3"/>
  <c r="T29" i="3"/>
  <c r="S29" i="3"/>
  <c r="P29" i="3"/>
  <c r="O29" i="3"/>
  <c r="N29" i="3"/>
  <c r="M29" i="3"/>
  <c r="L29" i="3"/>
  <c r="K29" i="3"/>
  <c r="J29" i="3"/>
  <c r="I29" i="3"/>
  <c r="H29" i="3"/>
  <c r="G29" i="3"/>
  <c r="F29" i="3"/>
  <c r="U28" i="3"/>
  <c r="T28" i="3"/>
  <c r="S28" i="3"/>
  <c r="Q28" i="3"/>
  <c r="P28" i="3"/>
  <c r="O28" i="3"/>
  <c r="N28" i="3"/>
  <c r="M28" i="3"/>
  <c r="L28" i="3"/>
  <c r="K28" i="3"/>
  <c r="J28" i="3"/>
  <c r="I28" i="3"/>
  <c r="H28" i="3"/>
  <c r="G28" i="3"/>
  <c r="F28" i="3"/>
  <c r="U27" i="3"/>
  <c r="T27" i="3"/>
  <c r="S27" i="3"/>
  <c r="P27" i="3"/>
  <c r="O27" i="3"/>
  <c r="N27" i="3"/>
  <c r="M27" i="3"/>
  <c r="L27" i="3"/>
  <c r="K27" i="3"/>
  <c r="J27" i="3"/>
  <c r="I27" i="3"/>
  <c r="H27" i="3"/>
  <c r="G27" i="3"/>
  <c r="F27" i="3"/>
  <c r="U26" i="3"/>
  <c r="T26" i="3"/>
  <c r="S26" i="3"/>
  <c r="Q26" i="3"/>
  <c r="P26" i="3"/>
  <c r="O26" i="3"/>
  <c r="N26" i="3"/>
  <c r="M26" i="3"/>
  <c r="L26" i="3"/>
  <c r="K26" i="3"/>
  <c r="J26" i="3"/>
  <c r="I26" i="3"/>
  <c r="H26" i="3"/>
  <c r="G26" i="3"/>
  <c r="F26" i="3"/>
  <c r="U25" i="3"/>
  <c r="T25" i="3"/>
  <c r="S25" i="3"/>
  <c r="P25" i="3"/>
  <c r="O25" i="3"/>
  <c r="N25" i="3"/>
  <c r="M25" i="3"/>
  <c r="L25" i="3"/>
  <c r="K25" i="3"/>
  <c r="J25" i="3"/>
  <c r="I25" i="3"/>
  <c r="H25" i="3"/>
  <c r="G25" i="3"/>
  <c r="F25" i="3"/>
  <c r="U21" i="3"/>
  <c r="T21" i="3"/>
  <c r="S21" i="3"/>
  <c r="P21" i="3"/>
  <c r="O21" i="3"/>
  <c r="N21" i="3"/>
  <c r="M21" i="3"/>
  <c r="L21" i="3"/>
  <c r="K21" i="3"/>
  <c r="J21" i="3"/>
  <c r="I21" i="3"/>
  <c r="H21" i="3"/>
  <c r="G21" i="3"/>
  <c r="F21" i="3"/>
  <c r="U20" i="3"/>
  <c r="T20" i="3"/>
  <c r="S20" i="3"/>
  <c r="Q20" i="3"/>
  <c r="P20" i="3"/>
  <c r="O20" i="3"/>
  <c r="N20" i="3"/>
  <c r="M20" i="3"/>
  <c r="L20" i="3"/>
  <c r="K20" i="3"/>
  <c r="J20" i="3"/>
  <c r="I20" i="3"/>
  <c r="H20" i="3"/>
  <c r="G20" i="3"/>
  <c r="F20" i="3"/>
  <c r="U19" i="3"/>
  <c r="T19" i="3"/>
  <c r="S19" i="3"/>
  <c r="P19" i="3"/>
  <c r="O19" i="3"/>
  <c r="N19" i="3"/>
  <c r="M19" i="3"/>
  <c r="L19" i="3"/>
  <c r="K19" i="3"/>
  <c r="J19" i="3"/>
  <c r="I19" i="3"/>
  <c r="H19" i="3"/>
  <c r="G19" i="3"/>
  <c r="F19" i="3"/>
  <c r="U24" i="3"/>
  <c r="T24" i="3"/>
  <c r="S24" i="3"/>
  <c r="Q24" i="3"/>
  <c r="P24" i="3"/>
  <c r="O24" i="3"/>
  <c r="N24" i="3"/>
  <c r="M24" i="3"/>
  <c r="L24" i="3"/>
  <c r="K24" i="3"/>
  <c r="J24" i="3"/>
  <c r="I24" i="3"/>
  <c r="H24" i="3"/>
  <c r="G24" i="3"/>
  <c r="F24" i="3"/>
  <c r="U23" i="3"/>
  <c r="T23" i="3"/>
  <c r="S23" i="3"/>
  <c r="P23" i="3"/>
  <c r="O23" i="3"/>
  <c r="N23" i="3"/>
  <c r="M23" i="3"/>
  <c r="L23" i="3"/>
  <c r="K23" i="3"/>
  <c r="J23" i="3"/>
  <c r="I23" i="3"/>
  <c r="H23" i="3"/>
  <c r="G23" i="3"/>
  <c r="F23" i="3"/>
  <c r="U22" i="3"/>
  <c r="T22" i="3"/>
  <c r="S22" i="3"/>
  <c r="Q22" i="3"/>
  <c r="P22" i="3"/>
  <c r="O22" i="3"/>
  <c r="N22" i="3"/>
  <c r="M22" i="3"/>
  <c r="L22" i="3"/>
  <c r="K22" i="3"/>
  <c r="J22" i="3"/>
  <c r="I22" i="3"/>
  <c r="H22" i="3"/>
  <c r="G22" i="3"/>
  <c r="F22" i="3"/>
  <c r="U33" i="3"/>
  <c r="T33" i="3"/>
  <c r="S33" i="3"/>
  <c r="P33" i="3"/>
  <c r="O33" i="3"/>
  <c r="N33" i="3"/>
  <c r="M33" i="3"/>
  <c r="L33" i="3"/>
  <c r="K33" i="3"/>
  <c r="J33" i="3"/>
  <c r="I33" i="3"/>
  <c r="H33" i="3"/>
  <c r="G33" i="3"/>
  <c r="F33" i="3"/>
  <c r="U32" i="3"/>
  <c r="T32" i="3"/>
  <c r="S32" i="3"/>
  <c r="Q32" i="3"/>
  <c r="P32" i="3"/>
  <c r="O32" i="3"/>
  <c r="N32" i="3"/>
  <c r="M32" i="3"/>
  <c r="L32" i="3"/>
  <c r="K32" i="3"/>
  <c r="J32" i="3"/>
  <c r="I32" i="3"/>
  <c r="H32" i="3"/>
  <c r="G32" i="3"/>
  <c r="F32" i="3"/>
  <c r="U31" i="3"/>
  <c r="T31" i="3"/>
  <c r="S31" i="3"/>
  <c r="P31" i="3"/>
  <c r="O31" i="3"/>
  <c r="N31" i="3"/>
  <c r="M31" i="3"/>
  <c r="L31" i="3"/>
  <c r="K31" i="3"/>
  <c r="J31" i="3"/>
  <c r="I31" i="3"/>
  <c r="H31" i="3"/>
  <c r="G31" i="3"/>
  <c r="F31" i="3"/>
  <c r="U36" i="3"/>
  <c r="T36" i="3"/>
  <c r="S36" i="3"/>
  <c r="Q36" i="3"/>
  <c r="P36" i="3"/>
  <c r="O36" i="3"/>
  <c r="N36" i="3"/>
  <c r="M36" i="3"/>
  <c r="L36" i="3"/>
  <c r="K36" i="3"/>
  <c r="J36" i="3"/>
  <c r="I36" i="3"/>
  <c r="H36" i="3"/>
  <c r="G36" i="3"/>
  <c r="F36" i="3"/>
  <c r="U35" i="3"/>
  <c r="T35" i="3"/>
  <c r="S35" i="3"/>
  <c r="P35" i="3"/>
  <c r="O35" i="3"/>
  <c r="N35" i="3"/>
  <c r="M35" i="3"/>
  <c r="L35" i="3"/>
  <c r="K35" i="3"/>
  <c r="J35" i="3"/>
  <c r="I35" i="3"/>
  <c r="H35" i="3"/>
  <c r="G35" i="3"/>
  <c r="F35" i="3"/>
  <c r="U34" i="3"/>
  <c r="T34" i="3"/>
  <c r="S34" i="3"/>
  <c r="Q34" i="3"/>
  <c r="P34" i="3"/>
  <c r="O34" i="3"/>
  <c r="N34" i="3"/>
  <c r="M34" i="3"/>
  <c r="L34" i="3"/>
  <c r="K34" i="3"/>
  <c r="J34" i="3"/>
  <c r="I34" i="3"/>
  <c r="H34" i="3"/>
  <c r="G34" i="3"/>
  <c r="F34" i="3"/>
  <c r="U39" i="3"/>
  <c r="T39" i="3"/>
  <c r="S39" i="3"/>
  <c r="P39" i="3"/>
  <c r="O39" i="3"/>
  <c r="N39" i="3"/>
  <c r="M39" i="3"/>
  <c r="L39" i="3"/>
  <c r="K39" i="3"/>
  <c r="J39" i="3"/>
  <c r="I39" i="3"/>
  <c r="H39" i="3"/>
  <c r="G39" i="3"/>
  <c r="F39" i="3"/>
  <c r="U38" i="3"/>
  <c r="T38" i="3"/>
  <c r="S38" i="3"/>
  <c r="Q38" i="3"/>
  <c r="P38" i="3"/>
  <c r="O38" i="3"/>
  <c r="N38" i="3"/>
  <c r="M38" i="3"/>
  <c r="L38" i="3"/>
  <c r="K38" i="3"/>
  <c r="J38" i="3"/>
  <c r="I38" i="3"/>
  <c r="H38" i="3"/>
  <c r="G38" i="3"/>
  <c r="F38" i="3"/>
  <c r="U37" i="3"/>
  <c r="T37" i="3"/>
  <c r="S37" i="3"/>
  <c r="Q37" i="3"/>
  <c r="P37" i="3"/>
  <c r="O37" i="3"/>
  <c r="N37" i="3"/>
  <c r="M37" i="3"/>
  <c r="L37" i="3"/>
  <c r="K37" i="3"/>
  <c r="J37" i="3"/>
  <c r="I37" i="3"/>
  <c r="H37" i="3"/>
  <c r="G37" i="3"/>
  <c r="F37" i="3"/>
  <c r="F40" i="3"/>
  <c r="G40" i="3"/>
  <c r="H40" i="3"/>
  <c r="I40" i="3"/>
  <c r="J40" i="3"/>
  <c r="K40" i="3"/>
  <c r="L40" i="3"/>
  <c r="M40" i="3"/>
  <c r="N40" i="3"/>
  <c r="O40" i="3"/>
  <c r="P40" i="3"/>
  <c r="Q40" i="3"/>
  <c r="S40" i="3"/>
  <c r="T40" i="3"/>
  <c r="U40" i="3"/>
  <c r="F41" i="3"/>
  <c r="G41" i="3"/>
  <c r="H41" i="3"/>
  <c r="I41" i="3"/>
  <c r="J41" i="3"/>
  <c r="K41" i="3"/>
  <c r="L41" i="3"/>
  <c r="M41" i="3"/>
  <c r="N41" i="3"/>
  <c r="O41" i="3"/>
  <c r="P41" i="3"/>
  <c r="S41" i="3"/>
  <c r="T41" i="3"/>
  <c r="U41" i="3"/>
  <c r="F42" i="3"/>
  <c r="G42" i="3"/>
  <c r="H42" i="3"/>
  <c r="I42" i="3"/>
  <c r="J42" i="3"/>
  <c r="K42" i="3"/>
  <c r="L42" i="3"/>
  <c r="M42" i="3"/>
  <c r="N42" i="3"/>
  <c r="O42" i="3"/>
  <c r="P42" i="3"/>
  <c r="Q42" i="3"/>
  <c r="S42" i="3"/>
  <c r="T42" i="3"/>
  <c r="U42" i="3"/>
  <c r="U18" i="3"/>
  <c r="T18" i="3"/>
  <c r="S18" i="3"/>
  <c r="P18" i="3"/>
  <c r="O18" i="3"/>
  <c r="N18" i="3"/>
  <c r="M18" i="3"/>
  <c r="L18" i="3"/>
  <c r="K18" i="3"/>
  <c r="J18" i="3"/>
  <c r="I18" i="3"/>
  <c r="H18" i="3"/>
  <c r="G18" i="3"/>
  <c r="F18" i="3"/>
  <c r="U17" i="3"/>
  <c r="T17" i="3"/>
  <c r="S17" i="3"/>
  <c r="P17" i="3"/>
  <c r="O17" i="3"/>
  <c r="N17" i="3"/>
  <c r="M17" i="3"/>
  <c r="L17" i="3"/>
  <c r="K17" i="3"/>
  <c r="J17" i="3"/>
  <c r="I17" i="3"/>
  <c r="H17" i="3"/>
  <c r="G17" i="3"/>
  <c r="F17" i="3"/>
  <c r="U16" i="3"/>
  <c r="T16" i="3"/>
  <c r="S16" i="3"/>
  <c r="P16" i="3"/>
  <c r="O16" i="3"/>
  <c r="N16" i="3"/>
  <c r="M16" i="3"/>
  <c r="L16" i="3"/>
  <c r="K16" i="3"/>
  <c r="J16" i="3"/>
  <c r="I16" i="3"/>
  <c r="H16" i="3"/>
  <c r="G16" i="3"/>
  <c r="F16" i="3"/>
  <c r="Q30" i="3" l="1"/>
  <c r="R30" i="3" s="1"/>
  <c r="Q33" i="3"/>
  <c r="R33" i="3" s="1"/>
  <c r="Q21" i="3"/>
  <c r="R21" i="3" s="1"/>
  <c r="Q41" i="3"/>
  <c r="R41" i="3" s="1"/>
  <c r="Q19" i="3"/>
  <c r="R19" i="3" s="1"/>
  <c r="Q23" i="3"/>
  <c r="R23" i="3" s="1"/>
  <c r="Q27" i="3"/>
  <c r="R27" i="3" s="1"/>
  <c r="Q31" i="3"/>
  <c r="R31" i="3" s="1"/>
  <c r="Q35" i="3"/>
  <c r="R35" i="3" s="1"/>
  <c r="Q39" i="3"/>
  <c r="R39" i="3" s="1"/>
  <c r="Q29" i="3"/>
  <c r="R29" i="3" s="1"/>
  <c r="R28" i="3"/>
  <c r="R26" i="3"/>
  <c r="R25" i="3"/>
  <c r="E25" i="3"/>
  <c r="E28" i="3"/>
  <c r="R32" i="3"/>
  <c r="R24" i="3"/>
  <c r="R22" i="3"/>
  <c r="R20" i="3"/>
  <c r="E19" i="3"/>
  <c r="E22" i="3"/>
  <c r="R34" i="3"/>
  <c r="R38" i="3"/>
  <c r="R36" i="3"/>
  <c r="E31" i="3"/>
  <c r="R37" i="3"/>
  <c r="E34" i="3"/>
  <c r="R42" i="3"/>
  <c r="E40" i="3"/>
  <c r="R40" i="3"/>
  <c r="E37" i="3"/>
  <c r="E16" i="3"/>
  <c r="F71" i="2"/>
  <c r="S4" i="2" l="1"/>
  <c r="G71" i="2"/>
  <c r="H71" i="2"/>
  <c r="I71" i="2"/>
  <c r="J71" i="2"/>
  <c r="K71" i="2"/>
  <c r="L71" i="2"/>
  <c r="M71" i="2"/>
  <c r="N71" i="2"/>
  <c r="O71" i="2"/>
  <c r="P71" i="2"/>
  <c r="S71" i="2"/>
  <c r="T71" i="2"/>
  <c r="U71" i="2"/>
  <c r="F72" i="2"/>
  <c r="G72" i="2"/>
  <c r="H72" i="2"/>
  <c r="I72" i="2"/>
  <c r="J72" i="2"/>
  <c r="K72" i="2"/>
  <c r="L72" i="2"/>
  <c r="M72" i="2"/>
  <c r="N72" i="2"/>
  <c r="O72" i="2"/>
  <c r="P72" i="2"/>
  <c r="S72" i="2"/>
  <c r="T72" i="2"/>
  <c r="U72" i="2"/>
  <c r="C2" i="10"/>
  <c r="C7" i="10"/>
  <c r="C8" i="10"/>
  <c r="C9" i="10"/>
  <c r="C10" i="10"/>
  <c r="C11" i="10"/>
  <c r="C12" i="10"/>
  <c r="C13" i="10"/>
  <c r="Q6" i="2" s="1"/>
  <c r="R6" i="2" s="1"/>
  <c r="C14" i="10"/>
  <c r="Q12" i="2" s="1"/>
  <c r="R12" i="2" s="1"/>
  <c r="C15" i="10"/>
  <c r="Q18" i="2" s="1"/>
  <c r="R18" i="2" s="1"/>
  <c r="C16" i="10"/>
  <c r="Q24" i="2" s="1"/>
  <c r="R24" i="2" s="1"/>
  <c r="C17" i="10"/>
  <c r="Q36" i="2" s="1"/>
  <c r="R36" i="2" s="1"/>
  <c r="C18" i="10"/>
  <c r="Q30" i="2" s="1"/>
  <c r="R30" i="2" s="1"/>
  <c r="C29" i="10"/>
  <c r="C30" i="10"/>
  <c r="C31" i="10"/>
  <c r="C32" i="10"/>
  <c r="C33" i="10"/>
  <c r="C34" i="10"/>
  <c r="C47" i="10"/>
  <c r="C48" i="10"/>
  <c r="C49" i="10"/>
  <c r="C50" i="10"/>
  <c r="C51" i="10"/>
  <c r="Q71" i="2" s="1"/>
  <c r="C52" i="10"/>
  <c r="Q72" i="2" s="1"/>
  <c r="C55" i="10"/>
  <c r="Q42" i="2" s="1"/>
  <c r="R42" i="2" s="1"/>
  <c r="C57" i="10"/>
  <c r="C58" i="10"/>
  <c r="C59" i="10"/>
  <c r="Q54" i="2" s="1"/>
  <c r="R54" i="2" s="1"/>
  <c r="C60" i="10"/>
  <c r="C61" i="10"/>
  <c r="C62" i="10"/>
  <c r="C63" i="10"/>
  <c r="Q48" i="2" s="1"/>
  <c r="R48" i="2" s="1"/>
  <c r="C64" i="10"/>
  <c r="C65" i="10"/>
  <c r="C66" i="10"/>
  <c r="C67" i="10"/>
  <c r="Q60" i="2" s="1"/>
  <c r="R60" i="2" s="1"/>
  <c r="C68" i="10"/>
  <c r="C1" i="10"/>
  <c r="R72" i="2" l="1"/>
  <c r="E72" i="2"/>
  <c r="R71" i="2"/>
  <c r="O5" i="2" l="1"/>
  <c r="O8" i="2"/>
  <c r="O9" i="2"/>
  <c r="O10" i="2"/>
  <c r="O11" i="2"/>
  <c r="O14" i="2"/>
  <c r="O15" i="2"/>
  <c r="O16" i="2"/>
  <c r="O17" i="2"/>
  <c r="O20" i="2"/>
  <c r="O21" i="2"/>
  <c r="O22" i="2"/>
  <c r="O23" i="2"/>
  <c r="O26" i="2"/>
  <c r="O27" i="2"/>
  <c r="O28" i="2"/>
  <c r="O29" i="2"/>
  <c r="O32" i="2"/>
  <c r="O33" i="2"/>
  <c r="O34" i="2"/>
  <c r="O35" i="2"/>
  <c r="O38" i="2"/>
  <c r="O39" i="2"/>
  <c r="O40" i="2"/>
  <c r="O41" i="2"/>
  <c r="O44" i="2"/>
  <c r="O45" i="2"/>
  <c r="O46" i="2"/>
  <c r="O47" i="2"/>
  <c r="O50" i="2"/>
  <c r="O51" i="2"/>
  <c r="O52" i="2"/>
  <c r="O53" i="2"/>
  <c r="O56" i="2"/>
  <c r="O57" i="2"/>
  <c r="O58" i="2"/>
  <c r="O59" i="2"/>
  <c r="O62" i="2"/>
  <c r="O63" i="2"/>
  <c r="O67" i="2"/>
  <c r="O68" i="2"/>
  <c r="O69" i="2"/>
  <c r="O70" i="2"/>
  <c r="O4" i="2"/>
  <c r="F5" i="11"/>
  <c r="G5" i="11"/>
  <c r="H5" i="11"/>
  <c r="I5" i="11"/>
  <c r="J5" i="11"/>
  <c r="K5" i="11"/>
  <c r="L5" i="11"/>
  <c r="M5" i="11"/>
  <c r="N5" i="11"/>
  <c r="O5" i="11"/>
  <c r="P5" i="11"/>
  <c r="S5" i="11"/>
  <c r="T5" i="11"/>
  <c r="U5" i="11"/>
  <c r="F6" i="11"/>
  <c r="G6" i="11"/>
  <c r="H6" i="11"/>
  <c r="I6" i="11"/>
  <c r="J6" i="11"/>
  <c r="K6" i="11"/>
  <c r="L6" i="11"/>
  <c r="M6" i="11"/>
  <c r="N6" i="11"/>
  <c r="O6" i="11"/>
  <c r="P6" i="11"/>
  <c r="S6" i="11"/>
  <c r="T6" i="11"/>
  <c r="U6" i="11"/>
  <c r="F7" i="11"/>
  <c r="G7" i="11"/>
  <c r="H7" i="11"/>
  <c r="I7" i="11"/>
  <c r="J7" i="11"/>
  <c r="K7" i="11"/>
  <c r="L7" i="11"/>
  <c r="M7" i="11"/>
  <c r="N7" i="11"/>
  <c r="O7" i="11"/>
  <c r="P7" i="11"/>
  <c r="Q7" i="11"/>
  <c r="S7" i="11"/>
  <c r="T7" i="11"/>
  <c r="U7" i="11"/>
  <c r="F8" i="11"/>
  <c r="G8" i="11"/>
  <c r="H8" i="11"/>
  <c r="I8" i="11"/>
  <c r="J8" i="11"/>
  <c r="K8" i="11"/>
  <c r="L8" i="11"/>
  <c r="M8" i="11"/>
  <c r="N8" i="11"/>
  <c r="O8" i="11"/>
  <c r="P8" i="11"/>
  <c r="Q8" i="11"/>
  <c r="S8" i="11"/>
  <c r="T8" i="11"/>
  <c r="U8" i="11"/>
  <c r="F9" i="11"/>
  <c r="G9" i="11"/>
  <c r="H9" i="11"/>
  <c r="I9" i="11"/>
  <c r="J9" i="11"/>
  <c r="K9" i="11"/>
  <c r="L9" i="11"/>
  <c r="M9" i="11"/>
  <c r="N9" i="11"/>
  <c r="O9" i="11"/>
  <c r="P9" i="11"/>
  <c r="Q9" i="11"/>
  <c r="S9" i="11"/>
  <c r="T9" i="11"/>
  <c r="U9" i="11"/>
  <c r="F10" i="11"/>
  <c r="G10" i="11"/>
  <c r="H10" i="11"/>
  <c r="I10" i="11"/>
  <c r="J10" i="11"/>
  <c r="K10" i="11"/>
  <c r="L10" i="11"/>
  <c r="M10" i="11"/>
  <c r="N10" i="11"/>
  <c r="O10" i="11"/>
  <c r="P10" i="11"/>
  <c r="S10" i="11"/>
  <c r="T10" i="11"/>
  <c r="U10" i="11"/>
  <c r="F11" i="11"/>
  <c r="G11" i="11"/>
  <c r="H11" i="11"/>
  <c r="I11" i="11"/>
  <c r="J11" i="11"/>
  <c r="K11" i="11"/>
  <c r="L11" i="11"/>
  <c r="M11" i="11"/>
  <c r="N11" i="11"/>
  <c r="O11" i="11"/>
  <c r="P11" i="11"/>
  <c r="S11" i="11"/>
  <c r="T11" i="11"/>
  <c r="U11" i="11"/>
  <c r="F12" i="11"/>
  <c r="G12" i="11"/>
  <c r="H12" i="11"/>
  <c r="I12" i="11"/>
  <c r="J12" i="11"/>
  <c r="K12" i="11"/>
  <c r="L12" i="11"/>
  <c r="M12" i="11"/>
  <c r="N12" i="11"/>
  <c r="O12" i="11"/>
  <c r="P12" i="11"/>
  <c r="S12" i="11"/>
  <c r="T12" i="11"/>
  <c r="U12" i="11"/>
  <c r="F17" i="11"/>
  <c r="G17" i="11"/>
  <c r="H17" i="11"/>
  <c r="I17" i="11"/>
  <c r="J17" i="11"/>
  <c r="K17" i="11"/>
  <c r="L17" i="11"/>
  <c r="M17" i="11"/>
  <c r="N17" i="11"/>
  <c r="O17" i="11"/>
  <c r="P17" i="11"/>
  <c r="S17" i="11"/>
  <c r="T17" i="11"/>
  <c r="U17" i="11"/>
  <c r="F18" i="11"/>
  <c r="G18" i="11"/>
  <c r="H18" i="11"/>
  <c r="I18" i="11"/>
  <c r="J18" i="11"/>
  <c r="K18" i="11"/>
  <c r="L18" i="11"/>
  <c r="M18" i="11"/>
  <c r="N18" i="11"/>
  <c r="O18" i="11"/>
  <c r="P18" i="11"/>
  <c r="S18" i="11"/>
  <c r="T18" i="11"/>
  <c r="U18" i="11"/>
  <c r="F19" i="11"/>
  <c r="G19" i="11"/>
  <c r="H19" i="11"/>
  <c r="I19" i="11"/>
  <c r="J19" i="11"/>
  <c r="K19" i="11"/>
  <c r="L19" i="11"/>
  <c r="M19" i="11"/>
  <c r="N19" i="11"/>
  <c r="O19" i="11"/>
  <c r="P19" i="11"/>
  <c r="S19" i="11"/>
  <c r="T19" i="11"/>
  <c r="U19" i="11"/>
  <c r="F20" i="11"/>
  <c r="G20" i="11"/>
  <c r="H20" i="11"/>
  <c r="I20" i="11"/>
  <c r="J20" i="11"/>
  <c r="K20" i="11"/>
  <c r="L20" i="11"/>
  <c r="M20" i="11"/>
  <c r="N20" i="11"/>
  <c r="O20" i="11"/>
  <c r="P20" i="11"/>
  <c r="S20" i="11"/>
  <c r="T20" i="11"/>
  <c r="U20" i="11"/>
  <c r="F30" i="11"/>
  <c r="G30" i="11"/>
  <c r="H30" i="11"/>
  <c r="I30" i="11"/>
  <c r="J30" i="11"/>
  <c r="K30" i="11"/>
  <c r="L30" i="11"/>
  <c r="M30" i="11"/>
  <c r="N30" i="11"/>
  <c r="O30" i="11"/>
  <c r="P30" i="11"/>
  <c r="S30" i="11"/>
  <c r="T30" i="11"/>
  <c r="U30" i="11"/>
  <c r="F31" i="11"/>
  <c r="G31" i="11"/>
  <c r="H31" i="11"/>
  <c r="I31" i="11"/>
  <c r="J31" i="11"/>
  <c r="K31" i="11"/>
  <c r="L31" i="11"/>
  <c r="M31" i="11"/>
  <c r="N31" i="11"/>
  <c r="O31" i="11"/>
  <c r="P31" i="11"/>
  <c r="S31" i="11"/>
  <c r="T31" i="11"/>
  <c r="U31" i="11"/>
  <c r="F32" i="11"/>
  <c r="G32" i="11"/>
  <c r="H32" i="11"/>
  <c r="I32" i="11"/>
  <c r="J32" i="11"/>
  <c r="K32" i="11"/>
  <c r="L32" i="11"/>
  <c r="M32" i="11"/>
  <c r="N32" i="11"/>
  <c r="O32" i="11"/>
  <c r="P32" i="11"/>
  <c r="S32" i="11"/>
  <c r="T32" i="11"/>
  <c r="U32" i="11"/>
  <c r="F42" i="11"/>
  <c r="G42" i="11"/>
  <c r="H42" i="11"/>
  <c r="I42" i="11"/>
  <c r="J42" i="11"/>
  <c r="K42" i="11"/>
  <c r="L42" i="11"/>
  <c r="M42" i="11"/>
  <c r="N42" i="11"/>
  <c r="O42" i="11"/>
  <c r="P42" i="11"/>
  <c r="S42" i="11"/>
  <c r="T42" i="11"/>
  <c r="U42" i="11"/>
  <c r="F43" i="11"/>
  <c r="G43" i="11"/>
  <c r="H43" i="11"/>
  <c r="I43" i="11"/>
  <c r="J43" i="11"/>
  <c r="K43" i="11"/>
  <c r="L43" i="11"/>
  <c r="M43" i="11"/>
  <c r="N43" i="11"/>
  <c r="O43" i="11"/>
  <c r="P43" i="11"/>
  <c r="S43" i="11"/>
  <c r="T43" i="11"/>
  <c r="U43" i="11"/>
  <c r="F44" i="11"/>
  <c r="G44" i="11"/>
  <c r="H44" i="11"/>
  <c r="I44" i="11"/>
  <c r="J44" i="11"/>
  <c r="K44" i="11"/>
  <c r="L44" i="11"/>
  <c r="M44" i="11"/>
  <c r="N44" i="11"/>
  <c r="O44" i="11"/>
  <c r="P44" i="11"/>
  <c r="S44" i="11"/>
  <c r="T44" i="11"/>
  <c r="U44" i="11"/>
  <c r="F45" i="11"/>
  <c r="G45" i="11"/>
  <c r="H45" i="11"/>
  <c r="I45" i="11"/>
  <c r="J45" i="11"/>
  <c r="K45" i="11"/>
  <c r="L45" i="11"/>
  <c r="M45" i="11"/>
  <c r="N45" i="11"/>
  <c r="O45" i="11"/>
  <c r="P45" i="11"/>
  <c r="S45" i="11"/>
  <c r="T45" i="11"/>
  <c r="U45" i="11"/>
  <c r="F46" i="11"/>
  <c r="G46" i="11"/>
  <c r="H46" i="11"/>
  <c r="I46" i="11"/>
  <c r="J46" i="11"/>
  <c r="K46" i="11"/>
  <c r="L46" i="11"/>
  <c r="M46" i="11"/>
  <c r="N46" i="11"/>
  <c r="O46" i="11"/>
  <c r="P46" i="11"/>
  <c r="S46" i="11"/>
  <c r="T46" i="11"/>
  <c r="U46" i="11"/>
  <c r="F47" i="11"/>
  <c r="G47" i="11"/>
  <c r="H47" i="11"/>
  <c r="I47" i="11"/>
  <c r="J47" i="11"/>
  <c r="K47" i="11"/>
  <c r="L47" i="11"/>
  <c r="M47" i="11"/>
  <c r="N47" i="11"/>
  <c r="O47" i="11"/>
  <c r="P47" i="11"/>
  <c r="S47" i="11"/>
  <c r="T47" i="11"/>
  <c r="U47" i="11"/>
  <c r="F48" i="11"/>
  <c r="G48" i="11"/>
  <c r="H48" i="11"/>
  <c r="I48" i="11"/>
  <c r="J48" i="11"/>
  <c r="K48" i="11"/>
  <c r="L48" i="11"/>
  <c r="M48" i="11"/>
  <c r="N48" i="11"/>
  <c r="O48" i="11"/>
  <c r="P48" i="11"/>
  <c r="S48" i="11"/>
  <c r="T48" i="11"/>
  <c r="U48" i="11"/>
  <c r="F49" i="11"/>
  <c r="G49" i="11"/>
  <c r="H49" i="11"/>
  <c r="I49" i="11"/>
  <c r="J49" i="11"/>
  <c r="K49" i="11"/>
  <c r="L49" i="11"/>
  <c r="M49" i="11"/>
  <c r="N49" i="11"/>
  <c r="O49" i="11"/>
  <c r="P49" i="11"/>
  <c r="S49" i="11"/>
  <c r="T49" i="11"/>
  <c r="U49" i="11"/>
  <c r="F50" i="11"/>
  <c r="G50" i="11"/>
  <c r="H50" i="11"/>
  <c r="I50" i="11"/>
  <c r="J50" i="11"/>
  <c r="K50" i="11"/>
  <c r="L50" i="11"/>
  <c r="M50" i="11"/>
  <c r="N50" i="11"/>
  <c r="O50" i="11"/>
  <c r="P50" i="11"/>
  <c r="S50" i="11"/>
  <c r="T50" i="11"/>
  <c r="U50" i="11"/>
  <c r="F54" i="11"/>
  <c r="G54" i="11"/>
  <c r="H54" i="11"/>
  <c r="I54" i="11"/>
  <c r="J54" i="11"/>
  <c r="K54" i="11"/>
  <c r="L54" i="11"/>
  <c r="M54" i="11"/>
  <c r="N54" i="11"/>
  <c r="O54" i="11"/>
  <c r="P54" i="11"/>
  <c r="S54" i="11"/>
  <c r="T54" i="11"/>
  <c r="U54" i="11"/>
  <c r="F55" i="11"/>
  <c r="G55" i="11"/>
  <c r="H55" i="11"/>
  <c r="I55" i="11"/>
  <c r="J55" i="11"/>
  <c r="K55" i="11"/>
  <c r="L55" i="11"/>
  <c r="M55" i="11"/>
  <c r="N55" i="11"/>
  <c r="O55" i="11"/>
  <c r="P55" i="11"/>
  <c r="S55" i="11"/>
  <c r="T55" i="11"/>
  <c r="U55" i="11"/>
  <c r="F56" i="11"/>
  <c r="G56" i="11"/>
  <c r="H56" i="11"/>
  <c r="I56" i="11"/>
  <c r="J56" i="11"/>
  <c r="K56" i="11"/>
  <c r="L56" i="11"/>
  <c r="M56" i="11"/>
  <c r="N56" i="11"/>
  <c r="O56" i="11"/>
  <c r="P56" i="11"/>
  <c r="S56" i="11"/>
  <c r="T56" i="11"/>
  <c r="U56" i="11"/>
  <c r="F57" i="11"/>
  <c r="G57" i="11"/>
  <c r="H57" i="11"/>
  <c r="I57" i="11"/>
  <c r="J57" i="11"/>
  <c r="K57" i="11"/>
  <c r="L57" i="11"/>
  <c r="M57" i="11"/>
  <c r="N57" i="11"/>
  <c r="O57" i="11"/>
  <c r="P57" i="11"/>
  <c r="S57" i="11"/>
  <c r="T57" i="11"/>
  <c r="U57" i="11"/>
  <c r="F58" i="11"/>
  <c r="G58" i="11"/>
  <c r="H58" i="11"/>
  <c r="I58" i="11"/>
  <c r="J58" i="11"/>
  <c r="K58" i="11"/>
  <c r="L58" i="11"/>
  <c r="M58" i="11"/>
  <c r="N58" i="11"/>
  <c r="O58" i="11"/>
  <c r="P58" i="11"/>
  <c r="S58" i="11"/>
  <c r="T58" i="11"/>
  <c r="U58" i="11"/>
  <c r="F59" i="11"/>
  <c r="G59" i="11"/>
  <c r="H59" i="11"/>
  <c r="I59" i="11"/>
  <c r="J59" i="11"/>
  <c r="K59" i="11"/>
  <c r="L59" i="11"/>
  <c r="M59" i="11"/>
  <c r="N59" i="11"/>
  <c r="O59" i="11"/>
  <c r="P59" i="11"/>
  <c r="S59" i="11"/>
  <c r="T59" i="11"/>
  <c r="U59" i="11"/>
  <c r="F60" i="11"/>
  <c r="G60" i="11"/>
  <c r="H60" i="11"/>
  <c r="I60" i="11"/>
  <c r="J60" i="11"/>
  <c r="K60" i="11"/>
  <c r="L60" i="11"/>
  <c r="M60" i="11"/>
  <c r="N60" i="11"/>
  <c r="O60" i="11"/>
  <c r="P60" i="11"/>
  <c r="S60" i="11"/>
  <c r="T60" i="11"/>
  <c r="U60" i="11"/>
  <c r="F61" i="11"/>
  <c r="G61" i="11"/>
  <c r="H61" i="11"/>
  <c r="I61" i="11"/>
  <c r="J61" i="11"/>
  <c r="K61" i="11"/>
  <c r="L61" i="11"/>
  <c r="M61" i="11"/>
  <c r="N61" i="11"/>
  <c r="O61" i="11"/>
  <c r="P61" i="11"/>
  <c r="S61" i="11"/>
  <c r="T61" i="11"/>
  <c r="U61" i="11"/>
  <c r="F62" i="11"/>
  <c r="G62" i="11"/>
  <c r="H62" i="11"/>
  <c r="I62" i="11"/>
  <c r="J62" i="11"/>
  <c r="K62" i="11"/>
  <c r="L62" i="11"/>
  <c r="M62" i="11"/>
  <c r="N62" i="11"/>
  <c r="O62" i="11"/>
  <c r="P62" i="11"/>
  <c r="S62" i="11"/>
  <c r="T62" i="11"/>
  <c r="U62" i="11"/>
  <c r="F63" i="11"/>
  <c r="G63" i="11"/>
  <c r="H63" i="11"/>
  <c r="I63" i="11"/>
  <c r="J63" i="11"/>
  <c r="K63" i="11"/>
  <c r="L63" i="11"/>
  <c r="M63" i="11"/>
  <c r="N63" i="11"/>
  <c r="O63" i="11"/>
  <c r="P63" i="11"/>
  <c r="S63" i="11"/>
  <c r="T63" i="11"/>
  <c r="U63" i="11"/>
  <c r="F64" i="11"/>
  <c r="G64" i="11"/>
  <c r="H64" i="11"/>
  <c r="I64" i="11"/>
  <c r="J64" i="11"/>
  <c r="K64" i="11"/>
  <c r="L64" i="11"/>
  <c r="M64" i="11"/>
  <c r="N64" i="11"/>
  <c r="O64" i="11"/>
  <c r="P64" i="11"/>
  <c r="S64" i="11"/>
  <c r="T64" i="11"/>
  <c r="U64" i="11"/>
  <c r="F65" i="11"/>
  <c r="G65" i="11"/>
  <c r="H65" i="11"/>
  <c r="I65" i="11"/>
  <c r="J65" i="11"/>
  <c r="K65" i="11"/>
  <c r="L65" i="11"/>
  <c r="M65" i="11"/>
  <c r="N65" i="11"/>
  <c r="O65" i="11"/>
  <c r="P65" i="11"/>
  <c r="S65" i="11"/>
  <c r="T65" i="11"/>
  <c r="U65" i="11"/>
  <c r="F66" i="11"/>
  <c r="G66" i="11"/>
  <c r="H66" i="11"/>
  <c r="I66" i="11"/>
  <c r="J66" i="11"/>
  <c r="K66" i="11"/>
  <c r="L66" i="11"/>
  <c r="M66" i="11"/>
  <c r="N66" i="11"/>
  <c r="O66" i="11"/>
  <c r="P66" i="11"/>
  <c r="S66" i="11"/>
  <c r="T66" i="11"/>
  <c r="U66" i="11"/>
  <c r="F67" i="11"/>
  <c r="G67" i="11"/>
  <c r="H67" i="11"/>
  <c r="I67" i="11"/>
  <c r="J67" i="11"/>
  <c r="K67" i="11"/>
  <c r="L67" i="11"/>
  <c r="M67" i="11"/>
  <c r="N67" i="11"/>
  <c r="O67" i="11"/>
  <c r="P67" i="11"/>
  <c r="S67" i="11"/>
  <c r="T67" i="11"/>
  <c r="U67" i="11"/>
  <c r="F68" i="11"/>
  <c r="G68" i="11"/>
  <c r="H68" i="11"/>
  <c r="I68" i="11"/>
  <c r="J68" i="11"/>
  <c r="K68" i="11"/>
  <c r="L68" i="11"/>
  <c r="M68" i="11"/>
  <c r="N68" i="11"/>
  <c r="O68" i="11"/>
  <c r="P68" i="11"/>
  <c r="S68" i="11"/>
  <c r="T68" i="11"/>
  <c r="U68" i="11"/>
  <c r="F69" i="11"/>
  <c r="G69" i="11"/>
  <c r="H69" i="11"/>
  <c r="I69" i="11"/>
  <c r="J69" i="11"/>
  <c r="K69" i="11"/>
  <c r="L69" i="11"/>
  <c r="M69" i="11"/>
  <c r="N69" i="11"/>
  <c r="O69" i="11"/>
  <c r="P69" i="11"/>
  <c r="S69" i="11"/>
  <c r="T69" i="11"/>
  <c r="U69" i="11"/>
  <c r="F70" i="11"/>
  <c r="G70" i="11"/>
  <c r="H70" i="11"/>
  <c r="I70" i="11"/>
  <c r="J70" i="11"/>
  <c r="K70" i="11"/>
  <c r="L70" i="11"/>
  <c r="M70" i="11"/>
  <c r="N70" i="11"/>
  <c r="O70" i="11"/>
  <c r="P70" i="11"/>
  <c r="S70" i="11"/>
  <c r="T70" i="11"/>
  <c r="U70" i="11"/>
  <c r="F71" i="11"/>
  <c r="G71" i="11"/>
  <c r="H71" i="11"/>
  <c r="I71" i="11"/>
  <c r="J71" i="11"/>
  <c r="K71" i="11"/>
  <c r="L71" i="11"/>
  <c r="M71" i="11"/>
  <c r="N71" i="11"/>
  <c r="O71" i="11"/>
  <c r="P71" i="11"/>
  <c r="S71" i="11"/>
  <c r="T71" i="11"/>
  <c r="U71" i="11"/>
  <c r="F72" i="11"/>
  <c r="G72" i="11"/>
  <c r="H72" i="11"/>
  <c r="I72" i="11"/>
  <c r="J72" i="11"/>
  <c r="K72" i="11"/>
  <c r="L72" i="11"/>
  <c r="M72" i="11"/>
  <c r="N72" i="11"/>
  <c r="O72" i="11"/>
  <c r="P72" i="11"/>
  <c r="S72" i="11"/>
  <c r="T72" i="11"/>
  <c r="U72" i="11"/>
  <c r="F73" i="11"/>
  <c r="G73" i="11"/>
  <c r="H73" i="11"/>
  <c r="I73" i="11"/>
  <c r="J73" i="11"/>
  <c r="K73" i="11"/>
  <c r="L73" i="11"/>
  <c r="M73" i="11"/>
  <c r="N73" i="11"/>
  <c r="O73" i="11"/>
  <c r="P73" i="11"/>
  <c r="S73" i="11"/>
  <c r="T73" i="11"/>
  <c r="U73" i="11"/>
  <c r="F74" i="11"/>
  <c r="G74" i="11"/>
  <c r="H74" i="11"/>
  <c r="I74" i="11"/>
  <c r="J74" i="11"/>
  <c r="K74" i="11"/>
  <c r="L74" i="11"/>
  <c r="M74" i="11"/>
  <c r="N74" i="11"/>
  <c r="O74" i="11"/>
  <c r="P74" i="11"/>
  <c r="S74" i="11"/>
  <c r="T74" i="11"/>
  <c r="U74" i="11"/>
  <c r="F75" i="11"/>
  <c r="G75" i="11"/>
  <c r="H75" i="11"/>
  <c r="I75" i="11"/>
  <c r="J75" i="11"/>
  <c r="K75" i="11"/>
  <c r="L75" i="11"/>
  <c r="M75" i="11"/>
  <c r="N75" i="11"/>
  <c r="O75" i="11"/>
  <c r="P75" i="11"/>
  <c r="S75" i="11"/>
  <c r="T75" i="11"/>
  <c r="U75" i="11"/>
  <c r="F76" i="11"/>
  <c r="G76" i="11"/>
  <c r="H76" i="11"/>
  <c r="I76" i="11"/>
  <c r="J76" i="11"/>
  <c r="K76" i="11"/>
  <c r="L76" i="11"/>
  <c r="M76" i="11"/>
  <c r="N76" i="11"/>
  <c r="O76" i="11"/>
  <c r="P76" i="11"/>
  <c r="S76" i="11"/>
  <c r="T76" i="11"/>
  <c r="U76" i="11"/>
  <c r="F77" i="11"/>
  <c r="G77" i="11"/>
  <c r="H77" i="11"/>
  <c r="I77" i="11"/>
  <c r="J77" i="11"/>
  <c r="K77" i="11"/>
  <c r="L77" i="11"/>
  <c r="M77" i="11"/>
  <c r="N77" i="11"/>
  <c r="O77" i="11"/>
  <c r="P77" i="11"/>
  <c r="S77" i="11"/>
  <c r="T77" i="11"/>
  <c r="U77" i="11"/>
  <c r="F78" i="11"/>
  <c r="G78" i="11"/>
  <c r="H78" i="11"/>
  <c r="I78" i="11"/>
  <c r="J78" i="11"/>
  <c r="K78" i="11"/>
  <c r="L78" i="11"/>
  <c r="M78" i="11"/>
  <c r="N78" i="11"/>
  <c r="O78" i="11"/>
  <c r="P78" i="11"/>
  <c r="S78" i="11"/>
  <c r="T78" i="11"/>
  <c r="U78" i="11"/>
  <c r="F79" i="11"/>
  <c r="G79" i="11"/>
  <c r="H79" i="11"/>
  <c r="I79" i="11"/>
  <c r="J79" i="11"/>
  <c r="K79" i="11"/>
  <c r="L79" i="11"/>
  <c r="M79" i="11"/>
  <c r="N79" i="11"/>
  <c r="O79" i="11"/>
  <c r="P79" i="11"/>
  <c r="S79" i="11"/>
  <c r="T79" i="11"/>
  <c r="U79" i="11"/>
  <c r="F80" i="11"/>
  <c r="G80" i="11"/>
  <c r="H80" i="11"/>
  <c r="I80" i="11"/>
  <c r="J80" i="11"/>
  <c r="K80" i="11"/>
  <c r="L80" i="11"/>
  <c r="M80" i="11"/>
  <c r="N80" i="11"/>
  <c r="O80" i="11"/>
  <c r="P80" i="11"/>
  <c r="S80" i="11"/>
  <c r="T80" i="11"/>
  <c r="U80" i="11"/>
  <c r="F81" i="11"/>
  <c r="G81" i="11"/>
  <c r="H81" i="11"/>
  <c r="I81" i="11"/>
  <c r="J81" i="11"/>
  <c r="K81" i="11"/>
  <c r="L81" i="11"/>
  <c r="M81" i="11"/>
  <c r="N81" i="11"/>
  <c r="O81" i="11"/>
  <c r="P81" i="11"/>
  <c r="S81" i="11"/>
  <c r="T81" i="11"/>
  <c r="U81" i="11"/>
  <c r="F82" i="11"/>
  <c r="G82" i="11"/>
  <c r="H82" i="11"/>
  <c r="I82" i="11"/>
  <c r="J82" i="11"/>
  <c r="K82" i="11"/>
  <c r="L82" i="11"/>
  <c r="M82" i="11"/>
  <c r="N82" i="11"/>
  <c r="O82" i="11"/>
  <c r="P82" i="11"/>
  <c r="S82" i="11"/>
  <c r="T82" i="11"/>
  <c r="U82" i="11"/>
  <c r="F83" i="11"/>
  <c r="G83" i="11"/>
  <c r="H83" i="11"/>
  <c r="I83" i="11"/>
  <c r="J83" i="11"/>
  <c r="K83" i="11"/>
  <c r="L83" i="11"/>
  <c r="M83" i="11"/>
  <c r="N83" i="11"/>
  <c r="O83" i="11"/>
  <c r="P83" i="11"/>
  <c r="S83" i="11"/>
  <c r="T83" i="11"/>
  <c r="U83" i="11"/>
  <c r="F84" i="11"/>
  <c r="G84" i="11"/>
  <c r="H84" i="11"/>
  <c r="I84" i="11"/>
  <c r="J84" i="11"/>
  <c r="K84" i="11"/>
  <c r="L84" i="11"/>
  <c r="M84" i="11"/>
  <c r="N84" i="11"/>
  <c r="O84" i="11"/>
  <c r="P84" i="11"/>
  <c r="S84" i="11"/>
  <c r="T84" i="11"/>
  <c r="U84" i="11"/>
  <c r="F85" i="11"/>
  <c r="G85" i="11"/>
  <c r="H85" i="11"/>
  <c r="I85" i="11"/>
  <c r="J85" i="11"/>
  <c r="K85" i="11"/>
  <c r="L85" i="11"/>
  <c r="M85" i="11"/>
  <c r="N85" i="11"/>
  <c r="O85" i="11"/>
  <c r="P85" i="11"/>
  <c r="S85" i="11"/>
  <c r="T85" i="11"/>
  <c r="U85" i="11"/>
  <c r="F86" i="11"/>
  <c r="G86" i="11"/>
  <c r="H86" i="11"/>
  <c r="I86" i="11"/>
  <c r="J86" i="11"/>
  <c r="K86" i="11"/>
  <c r="L86" i="11"/>
  <c r="M86" i="11"/>
  <c r="N86" i="11"/>
  <c r="O86" i="11"/>
  <c r="P86" i="11"/>
  <c r="S86" i="11"/>
  <c r="T86" i="11"/>
  <c r="U86" i="11"/>
  <c r="F87" i="11"/>
  <c r="G87" i="11"/>
  <c r="H87" i="11"/>
  <c r="I87" i="11"/>
  <c r="J87" i="11"/>
  <c r="K87" i="11"/>
  <c r="L87" i="11"/>
  <c r="M87" i="11"/>
  <c r="N87" i="11"/>
  <c r="O87" i="11"/>
  <c r="P87" i="11"/>
  <c r="S87" i="11"/>
  <c r="T87" i="11"/>
  <c r="U87" i="11"/>
  <c r="F88" i="11"/>
  <c r="G88" i="11"/>
  <c r="H88" i="11"/>
  <c r="I88" i="11"/>
  <c r="J88" i="11"/>
  <c r="K88" i="11"/>
  <c r="L88" i="11"/>
  <c r="M88" i="11"/>
  <c r="N88" i="11"/>
  <c r="O88" i="11"/>
  <c r="P88" i="11"/>
  <c r="S88" i="11"/>
  <c r="T88" i="11"/>
  <c r="U88" i="11"/>
  <c r="F89" i="11"/>
  <c r="G89" i="11"/>
  <c r="H89" i="11"/>
  <c r="I89" i="11"/>
  <c r="J89" i="11"/>
  <c r="K89" i="11"/>
  <c r="L89" i="11"/>
  <c r="M89" i="11"/>
  <c r="N89" i="11"/>
  <c r="O89" i="11"/>
  <c r="P89" i="11"/>
  <c r="S89" i="11"/>
  <c r="T89" i="11"/>
  <c r="U89" i="11"/>
  <c r="N4" i="11"/>
  <c r="M4" i="11"/>
  <c r="L4" i="11"/>
  <c r="K4" i="11"/>
  <c r="J4" i="11"/>
  <c r="I4" i="11"/>
  <c r="H4" i="11"/>
  <c r="G4" i="11"/>
  <c r="F4" i="11"/>
  <c r="F4" i="12"/>
  <c r="G4" i="12"/>
  <c r="H4" i="12"/>
  <c r="I4" i="12"/>
  <c r="J4" i="12"/>
  <c r="K4" i="12"/>
  <c r="L4" i="12"/>
  <c r="M4" i="12"/>
  <c r="N4" i="12"/>
  <c r="O4" i="12"/>
  <c r="P4" i="12"/>
  <c r="Q4" i="12"/>
  <c r="S4" i="12"/>
  <c r="T4" i="12"/>
  <c r="U4" i="12"/>
  <c r="F5" i="12"/>
  <c r="G5" i="12"/>
  <c r="H5" i="12"/>
  <c r="I5" i="12"/>
  <c r="J5" i="12"/>
  <c r="K5" i="12"/>
  <c r="L5" i="12"/>
  <c r="M5" i="12"/>
  <c r="N5" i="12"/>
  <c r="O5" i="12"/>
  <c r="P5" i="12"/>
  <c r="Q5" i="12"/>
  <c r="S5" i="12"/>
  <c r="T5" i="12"/>
  <c r="U5" i="12"/>
  <c r="F6" i="12"/>
  <c r="G6" i="12"/>
  <c r="H6" i="12"/>
  <c r="I6" i="12"/>
  <c r="J6" i="12"/>
  <c r="K6" i="12"/>
  <c r="L6" i="12"/>
  <c r="M6" i="12"/>
  <c r="N6" i="12"/>
  <c r="O6" i="12"/>
  <c r="P6" i="12"/>
  <c r="Q6" i="12"/>
  <c r="S6" i="12"/>
  <c r="T6" i="12"/>
  <c r="U6" i="12"/>
  <c r="F7" i="12"/>
  <c r="G7" i="12"/>
  <c r="H7" i="12"/>
  <c r="I7" i="12"/>
  <c r="J7" i="12"/>
  <c r="K7" i="12"/>
  <c r="L7" i="12"/>
  <c r="M7" i="12"/>
  <c r="N7" i="12"/>
  <c r="O7" i="12"/>
  <c r="P7" i="12"/>
  <c r="Q7" i="12"/>
  <c r="S7" i="12"/>
  <c r="T7" i="12"/>
  <c r="U7" i="12"/>
  <c r="F8" i="12"/>
  <c r="G8" i="12"/>
  <c r="H8" i="12"/>
  <c r="I8" i="12"/>
  <c r="J8" i="12"/>
  <c r="K8" i="12"/>
  <c r="L8" i="12"/>
  <c r="M8" i="12"/>
  <c r="N8" i="12"/>
  <c r="O8" i="12"/>
  <c r="P8" i="12"/>
  <c r="Q8" i="12"/>
  <c r="S8" i="12"/>
  <c r="T8" i="12"/>
  <c r="U8" i="12"/>
  <c r="F9" i="12"/>
  <c r="G9" i="12"/>
  <c r="H9" i="12"/>
  <c r="I9" i="12"/>
  <c r="J9" i="12"/>
  <c r="K9" i="12"/>
  <c r="L9" i="12"/>
  <c r="M9" i="12"/>
  <c r="N9" i="12"/>
  <c r="O9" i="12"/>
  <c r="P9" i="12"/>
  <c r="Q9" i="12"/>
  <c r="S9" i="12"/>
  <c r="T9" i="12"/>
  <c r="U9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S10" i="12"/>
  <c r="T10" i="12"/>
  <c r="U10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S11" i="12"/>
  <c r="T11" i="12"/>
  <c r="U11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S12" i="12"/>
  <c r="T12" i="12"/>
  <c r="U12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S13" i="12"/>
  <c r="T13" i="12"/>
  <c r="U13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S14" i="12"/>
  <c r="T14" i="12"/>
  <c r="U14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S15" i="12"/>
  <c r="T15" i="12"/>
  <c r="U15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S16" i="12"/>
  <c r="T16" i="12"/>
  <c r="U16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S17" i="12"/>
  <c r="T17" i="12"/>
  <c r="U17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S18" i="12"/>
  <c r="T18" i="12"/>
  <c r="U18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S19" i="12"/>
  <c r="T19" i="12"/>
  <c r="U19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S20" i="12"/>
  <c r="T20" i="12"/>
  <c r="U20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S21" i="12"/>
  <c r="T21" i="12"/>
  <c r="U21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S22" i="12"/>
  <c r="T22" i="12"/>
  <c r="U22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S23" i="12"/>
  <c r="T23" i="12"/>
  <c r="U23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S24" i="12"/>
  <c r="T24" i="12"/>
  <c r="U24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S25" i="12"/>
  <c r="T25" i="12"/>
  <c r="U25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S26" i="12"/>
  <c r="T26" i="12"/>
  <c r="U26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S27" i="12"/>
  <c r="T27" i="12"/>
  <c r="U27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S28" i="12"/>
  <c r="T28" i="12"/>
  <c r="U28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S29" i="12"/>
  <c r="T29" i="12"/>
  <c r="U29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S30" i="12"/>
  <c r="T30" i="12"/>
  <c r="U30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S31" i="12"/>
  <c r="T31" i="12"/>
  <c r="U31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S32" i="12"/>
  <c r="T32" i="12"/>
  <c r="U32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S33" i="12"/>
  <c r="T33" i="12"/>
  <c r="U33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S34" i="12"/>
  <c r="T34" i="12"/>
  <c r="U34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S35" i="12"/>
  <c r="T35" i="12"/>
  <c r="U35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S36" i="12"/>
  <c r="T36" i="12"/>
  <c r="U36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S37" i="12"/>
  <c r="T37" i="12"/>
  <c r="U37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S38" i="12"/>
  <c r="T38" i="12"/>
  <c r="U38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S39" i="12"/>
  <c r="T39" i="12"/>
  <c r="U39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S40" i="12"/>
  <c r="T40" i="12"/>
  <c r="U40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S41" i="12"/>
  <c r="T41" i="12"/>
  <c r="U41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S42" i="12"/>
  <c r="T42" i="12"/>
  <c r="U42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S43" i="12"/>
  <c r="T43" i="12"/>
  <c r="U43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S44" i="12"/>
  <c r="T44" i="12"/>
  <c r="U44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S46" i="12"/>
  <c r="T46" i="12"/>
  <c r="U46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S47" i="12"/>
  <c r="T47" i="12"/>
  <c r="U47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S48" i="12"/>
  <c r="T48" i="12"/>
  <c r="U48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S49" i="12"/>
  <c r="T49" i="12"/>
  <c r="U49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S50" i="12"/>
  <c r="T50" i="12"/>
  <c r="U50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S51" i="12"/>
  <c r="T51" i="12"/>
  <c r="U51" i="12"/>
  <c r="N45" i="12"/>
  <c r="M45" i="12"/>
  <c r="L45" i="12"/>
  <c r="K45" i="12"/>
  <c r="J45" i="12"/>
  <c r="I45" i="12"/>
  <c r="H45" i="12"/>
  <c r="G45" i="12"/>
  <c r="F45" i="12"/>
  <c r="F5" i="3"/>
  <c r="G5" i="3"/>
  <c r="H5" i="3"/>
  <c r="I5" i="3"/>
  <c r="J5" i="3"/>
  <c r="K5" i="3"/>
  <c r="L5" i="3"/>
  <c r="M5" i="3"/>
  <c r="N5" i="3"/>
  <c r="O5" i="3"/>
  <c r="P5" i="3"/>
  <c r="S5" i="3"/>
  <c r="T5" i="3"/>
  <c r="U5" i="3"/>
  <c r="F6" i="3"/>
  <c r="G6" i="3"/>
  <c r="H6" i="3"/>
  <c r="I6" i="3"/>
  <c r="J6" i="3"/>
  <c r="K6" i="3"/>
  <c r="L6" i="3"/>
  <c r="M6" i="3"/>
  <c r="N6" i="3"/>
  <c r="O6" i="3"/>
  <c r="P6" i="3"/>
  <c r="S6" i="3"/>
  <c r="T6" i="3"/>
  <c r="U6" i="3"/>
  <c r="F7" i="3"/>
  <c r="G7" i="3"/>
  <c r="H7" i="3"/>
  <c r="I7" i="3"/>
  <c r="J7" i="3"/>
  <c r="K7" i="3"/>
  <c r="L7" i="3"/>
  <c r="M7" i="3"/>
  <c r="N7" i="3"/>
  <c r="O7" i="3"/>
  <c r="P7" i="3"/>
  <c r="S7" i="3"/>
  <c r="T7" i="3"/>
  <c r="U7" i="3"/>
  <c r="F8" i="3"/>
  <c r="G8" i="3"/>
  <c r="H8" i="3"/>
  <c r="I8" i="3"/>
  <c r="J8" i="3"/>
  <c r="K8" i="3"/>
  <c r="L8" i="3"/>
  <c r="M8" i="3"/>
  <c r="N8" i="3"/>
  <c r="O8" i="3"/>
  <c r="P8" i="3"/>
  <c r="S8" i="3"/>
  <c r="T8" i="3"/>
  <c r="U8" i="3"/>
  <c r="F9" i="3"/>
  <c r="G9" i="3"/>
  <c r="H9" i="3"/>
  <c r="I9" i="3"/>
  <c r="J9" i="3"/>
  <c r="K9" i="3"/>
  <c r="L9" i="3"/>
  <c r="M9" i="3"/>
  <c r="N9" i="3"/>
  <c r="O9" i="3"/>
  <c r="P9" i="3"/>
  <c r="S9" i="3"/>
  <c r="T9" i="3"/>
  <c r="U9" i="3"/>
  <c r="F10" i="3"/>
  <c r="G10" i="3"/>
  <c r="H10" i="3"/>
  <c r="I10" i="3"/>
  <c r="J10" i="3"/>
  <c r="K10" i="3"/>
  <c r="L10" i="3"/>
  <c r="M10" i="3"/>
  <c r="N10" i="3"/>
  <c r="O10" i="3"/>
  <c r="P10" i="3"/>
  <c r="S10" i="3"/>
  <c r="T10" i="3"/>
  <c r="U10" i="3"/>
  <c r="F11" i="3"/>
  <c r="G11" i="3"/>
  <c r="H11" i="3"/>
  <c r="I11" i="3"/>
  <c r="J11" i="3"/>
  <c r="K11" i="3"/>
  <c r="L11" i="3"/>
  <c r="M11" i="3"/>
  <c r="N11" i="3"/>
  <c r="O11" i="3"/>
  <c r="P11" i="3"/>
  <c r="S11" i="3"/>
  <c r="T11" i="3"/>
  <c r="U11" i="3"/>
  <c r="F12" i="3"/>
  <c r="G12" i="3"/>
  <c r="H12" i="3"/>
  <c r="I12" i="3"/>
  <c r="J12" i="3"/>
  <c r="K12" i="3"/>
  <c r="L12" i="3"/>
  <c r="M12" i="3"/>
  <c r="N12" i="3"/>
  <c r="O12" i="3"/>
  <c r="P12" i="3"/>
  <c r="S12" i="3"/>
  <c r="T12" i="3"/>
  <c r="U12" i="3"/>
  <c r="F4" i="3"/>
  <c r="G4" i="3"/>
  <c r="H4" i="3"/>
  <c r="I4" i="3"/>
  <c r="J4" i="3"/>
  <c r="K4" i="3"/>
  <c r="L4" i="3"/>
  <c r="M4" i="3"/>
  <c r="N4" i="3"/>
  <c r="O4" i="3"/>
  <c r="U4" i="3"/>
  <c r="T4" i="3"/>
  <c r="S4" i="3"/>
  <c r="P4" i="3"/>
  <c r="O45" i="12"/>
  <c r="P45" i="12"/>
  <c r="Q45" i="12"/>
  <c r="S45" i="12"/>
  <c r="T45" i="12"/>
  <c r="U45" i="12"/>
  <c r="Q6" i="3"/>
  <c r="E84" i="11" l="1"/>
  <c r="E78" i="11"/>
  <c r="E72" i="11"/>
  <c r="E66" i="11"/>
  <c r="E60" i="11"/>
  <c r="E54" i="11"/>
  <c r="E45" i="11"/>
  <c r="E18" i="11"/>
  <c r="E10" i="11"/>
  <c r="E7" i="11"/>
  <c r="E4" i="11"/>
  <c r="E87" i="11"/>
  <c r="E81" i="11"/>
  <c r="E75" i="11"/>
  <c r="E69" i="11"/>
  <c r="E63" i="11"/>
  <c r="E57" i="11"/>
  <c r="E48" i="11"/>
  <c r="E42" i="11"/>
  <c r="E30" i="11"/>
  <c r="E17" i="11"/>
  <c r="Q18" i="3"/>
  <c r="R18" i="3" s="1"/>
  <c r="Q11" i="3"/>
  <c r="R11" i="3" s="1"/>
  <c r="Q8" i="3"/>
  <c r="R8" i="3" s="1"/>
  <c r="Q17" i="3"/>
  <c r="R17" i="3" s="1"/>
  <c r="Q7" i="3"/>
  <c r="R7" i="3" s="1"/>
  <c r="Q9" i="3"/>
  <c r="R9" i="3" s="1"/>
  <c r="Q12" i="3"/>
  <c r="R12" i="3" s="1"/>
  <c r="Q5" i="3"/>
  <c r="R5" i="3" s="1"/>
  <c r="Q10" i="3"/>
  <c r="R10" i="3" s="1"/>
  <c r="Q4" i="3"/>
  <c r="E20" i="12"/>
  <c r="E7" i="3"/>
  <c r="E10" i="3"/>
  <c r="E4" i="3"/>
  <c r="R8" i="12"/>
  <c r="R4" i="12"/>
  <c r="R7" i="11"/>
  <c r="R9" i="11"/>
  <c r="R45" i="12"/>
  <c r="R48" i="12"/>
  <c r="R43" i="12"/>
  <c r="R39" i="12"/>
  <c r="R35" i="12"/>
  <c r="R31" i="12"/>
  <c r="R27" i="12"/>
  <c r="R23" i="12"/>
  <c r="R19" i="12"/>
  <c r="R15" i="12"/>
  <c r="R11" i="12"/>
  <c r="R7" i="12"/>
  <c r="R6" i="3"/>
  <c r="R49" i="12"/>
  <c r="R44" i="12"/>
  <c r="R40" i="12"/>
  <c r="R36" i="12"/>
  <c r="R32" i="12"/>
  <c r="R28" i="12"/>
  <c r="R24" i="12"/>
  <c r="R20" i="12"/>
  <c r="R16" i="12"/>
  <c r="R12" i="12"/>
  <c r="R51" i="12"/>
  <c r="R47" i="12"/>
  <c r="R42" i="12"/>
  <c r="R38" i="12"/>
  <c r="R34" i="12"/>
  <c r="R30" i="12"/>
  <c r="R26" i="12"/>
  <c r="R22" i="12"/>
  <c r="R18" i="12"/>
  <c r="R14" i="12"/>
  <c r="R10" i="12"/>
  <c r="R6" i="12"/>
  <c r="R50" i="12"/>
  <c r="R46" i="12"/>
  <c r="R41" i="12"/>
  <c r="R37" i="12"/>
  <c r="R33" i="12"/>
  <c r="R29" i="12"/>
  <c r="R25" i="12"/>
  <c r="R21" i="12"/>
  <c r="R17" i="12"/>
  <c r="R13" i="12"/>
  <c r="R9" i="12"/>
  <c r="R5" i="12"/>
  <c r="R8" i="11"/>
  <c r="F4" i="2"/>
  <c r="G4" i="2"/>
  <c r="H4" i="2"/>
  <c r="I4" i="2"/>
  <c r="J4" i="2"/>
  <c r="K4" i="2"/>
  <c r="L4" i="2"/>
  <c r="M4" i="2"/>
  <c r="N4" i="2"/>
  <c r="F5" i="2"/>
  <c r="G5" i="2"/>
  <c r="H5" i="2"/>
  <c r="I5" i="2"/>
  <c r="J5" i="2"/>
  <c r="K5" i="2"/>
  <c r="L5" i="2"/>
  <c r="M5" i="2"/>
  <c r="N5" i="2"/>
  <c r="F8" i="2"/>
  <c r="G8" i="2"/>
  <c r="H8" i="2"/>
  <c r="I8" i="2"/>
  <c r="J8" i="2"/>
  <c r="K8" i="2"/>
  <c r="L8" i="2"/>
  <c r="M8" i="2"/>
  <c r="N8" i="2"/>
  <c r="F9" i="2"/>
  <c r="G9" i="2"/>
  <c r="H9" i="2"/>
  <c r="I9" i="2"/>
  <c r="J9" i="2"/>
  <c r="K9" i="2"/>
  <c r="L9" i="2"/>
  <c r="M9" i="2"/>
  <c r="N9" i="2"/>
  <c r="F11" i="2"/>
  <c r="G11" i="2"/>
  <c r="H11" i="2"/>
  <c r="I11" i="2"/>
  <c r="J11" i="2"/>
  <c r="K11" i="2"/>
  <c r="L11" i="2"/>
  <c r="M11" i="2"/>
  <c r="N11" i="2"/>
  <c r="F14" i="2"/>
  <c r="G14" i="2"/>
  <c r="H14" i="2"/>
  <c r="I14" i="2"/>
  <c r="J14" i="2"/>
  <c r="K14" i="2"/>
  <c r="L14" i="2"/>
  <c r="M14" i="2"/>
  <c r="N14" i="2"/>
  <c r="F15" i="2"/>
  <c r="G15" i="2"/>
  <c r="H15" i="2"/>
  <c r="I15" i="2"/>
  <c r="J15" i="2"/>
  <c r="K15" i="2"/>
  <c r="L15" i="2"/>
  <c r="M15" i="2"/>
  <c r="N15" i="2"/>
  <c r="F16" i="2"/>
  <c r="G16" i="2"/>
  <c r="H16" i="2"/>
  <c r="I16" i="2"/>
  <c r="J16" i="2"/>
  <c r="K16" i="2"/>
  <c r="L16" i="2"/>
  <c r="M16" i="2"/>
  <c r="N16" i="2"/>
  <c r="F17" i="2"/>
  <c r="G17" i="2"/>
  <c r="H17" i="2"/>
  <c r="I17" i="2"/>
  <c r="J17" i="2"/>
  <c r="K17" i="2"/>
  <c r="L17" i="2"/>
  <c r="M17" i="2"/>
  <c r="N17" i="2"/>
  <c r="F20" i="2"/>
  <c r="G20" i="2"/>
  <c r="H20" i="2"/>
  <c r="I20" i="2"/>
  <c r="J20" i="2"/>
  <c r="K20" i="2"/>
  <c r="L20" i="2"/>
  <c r="M20" i="2"/>
  <c r="N20" i="2"/>
  <c r="F21" i="2"/>
  <c r="G21" i="2"/>
  <c r="H21" i="2"/>
  <c r="I21" i="2"/>
  <c r="J21" i="2"/>
  <c r="K21" i="2"/>
  <c r="L21" i="2"/>
  <c r="M21" i="2"/>
  <c r="N21" i="2"/>
  <c r="F22" i="2"/>
  <c r="G22" i="2"/>
  <c r="H22" i="2"/>
  <c r="I22" i="2"/>
  <c r="J22" i="2"/>
  <c r="K22" i="2"/>
  <c r="L22" i="2"/>
  <c r="M22" i="2"/>
  <c r="N22" i="2"/>
  <c r="F23" i="2"/>
  <c r="G23" i="2"/>
  <c r="H23" i="2"/>
  <c r="I23" i="2"/>
  <c r="J23" i="2"/>
  <c r="K23" i="2"/>
  <c r="L23" i="2"/>
  <c r="M23" i="2"/>
  <c r="N23" i="2"/>
  <c r="F26" i="2"/>
  <c r="G26" i="2"/>
  <c r="H26" i="2"/>
  <c r="I26" i="2"/>
  <c r="J26" i="2"/>
  <c r="K26" i="2"/>
  <c r="L26" i="2"/>
  <c r="M26" i="2"/>
  <c r="N26" i="2"/>
  <c r="F27" i="2"/>
  <c r="G27" i="2"/>
  <c r="H27" i="2"/>
  <c r="I27" i="2"/>
  <c r="J27" i="2"/>
  <c r="K27" i="2"/>
  <c r="L27" i="2"/>
  <c r="M27" i="2"/>
  <c r="N27" i="2"/>
  <c r="F28" i="2"/>
  <c r="G28" i="2"/>
  <c r="H28" i="2"/>
  <c r="I28" i="2"/>
  <c r="J28" i="2"/>
  <c r="K28" i="2"/>
  <c r="L28" i="2"/>
  <c r="M28" i="2"/>
  <c r="N28" i="2"/>
  <c r="F29" i="2"/>
  <c r="G29" i="2"/>
  <c r="H29" i="2"/>
  <c r="I29" i="2"/>
  <c r="J29" i="2"/>
  <c r="K29" i="2"/>
  <c r="L29" i="2"/>
  <c r="M29" i="2"/>
  <c r="N29" i="2"/>
  <c r="F32" i="2"/>
  <c r="G32" i="2"/>
  <c r="H32" i="2"/>
  <c r="I32" i="2"/>
  <c r="J32" i="2"/>
  <c r="K32" i="2"/>
  <c r="L32" i="2"/>
  <c r="M32" i="2"/>
  <c r="N32" i="2"/>
  <c r="F33" i="2"/>
  <c r="G33" i="2"/>
  <c r="H33" i="2"/>
  <c r="I33" i="2"/>
  <c r="J33" i="2"/>
  <c r="K33" i="2"/>
  <c r="L33" i="2"/>
  <c r="M33" i="2"/>
  <c r="N33" i="2"/>
  <c r="F34" i="2"/>
  <c r="G34" i="2"/>
  <c r="H34" i="2"/>
  <c r="I34" i="2"/>
  <c r="J34" i="2"/>
  <c r="K34" i="2"/>
  <c r="L34" i="2"/>
  <c r="M34" i="2"/>
  <c r="N34" i="2"/>
  <c r="F35" i="2"/>
  <c r="G35" i="2"/>
  <c r="H35" i="2"/>
  <c r="I35" i="2"/>
  <c r="J35" i="2"/>
  <c r="K35" i="2"/>
  <c r="L35" i="2"/>
  <c r="M35" i="2"/>
  <c r="N35" i="2"/>
  <c r="F38" i="2"/>
  <c r="G38" i="2"/>
  <c r="H38" i="2"/>
  <c r="I38" i="2"/>
  <c r="J38" i="2"/>
  <c r="K38" i="2"/>
  <c r="L38" i="2"/>
  <c r="M38" i="2"/>
  <c r="N38" i="2"/>
  <c r="F39" i="2"/>
  <c r="G39" i="2"/>
  <c r="H39" i="2"/>
  <c r="I39" i="2"/>
  <c r="J39" i="2"/>
  <c r="K39" i="2"/>
  <c r="L39" i="2"/>
  <c r="M39" i="2"/>
  <c r="N39" i="2"/>
  <c r="F40" i="2"/>
  <c r="G40" i="2"/>
  <c r="H40" i="2"/>
  <c r="I40" i="2"/>
  <c r="J40" i="2"/>
  <c r="K40" i="2"/>
  <c r="L40" i="2"/>
  <c r="M40" i="2"/>
  <c r="N40" i="2"/>
  <c r="F41" i="2"/>
  <c r="G41" i="2"/>
  <c r="H41" i="2"/>
  <c r="I41" i="2"/>
  <c r="J41" i="2"/>
  <c r="K41" i="2"/>
  <c r="L41" i="2"/>
  <c r="M41" i="2"/>
  <c r="N41" i="2"/>
  <c r="F44" i="2"/>
  <c r="G44" i="2"/>
  <c r="H44" i="2"/>
  <c r="I44" i="2"/>
  <c r="J44" i="2"/>
  <c r="K44" i="2"/>
  <c r="L44" i="2"/>
  <c r="M44" i="2"/>
  <c r="N44" i="2"/>
  <c r="F45" i="2"/>
  <c r="G45" i="2"/>
  <c r="H45" i="2"/>
  <c r="I45" i="2"/>
  <c r="J45" i="2"/>
  <c r="K45" i="2"/>
  <c r="L45" i="2"/>
  <c r="M45" i="2"/>
  <c r="N45" i="2"/>
  <c r="F46" i="2"/>
  <c r="G46" i="2"/>
  <c r="H46" i="2"/>
  <c r="I46" i="2"/>
  <c r="J46" i="2"/>
  <c r="K46" i="2"/>
  <c r="L46" i="2"/>
  <c r="M46" i="2"/>
  <c r="N46" i="2"/>
  <c r="F47" i="2"/>
  <c r="G47" i="2"/>
  <c r="H47" i="2"/>
  <c r="I47" i="2"/>
  <c r="J47" i="2"/>
  <c r="K47" i="2"/>
  <c r="L47" i="2"/>
  <c r="M47" i="2"/>
  <c r="N47" i="2"/>
  <c r="F50" i="2"/>
  <c r="G50" i="2"/>
  <c r="H50" i="2"/>
  <c r="I50" i="2"/>
  <c r="J50" i="2"/>
  <c r="K50" i="2"/>
  <c r="L50" i="2"/>
  <c r="M50" i="2"/>
  <c r="N50" i="2"/>
  <c r="F51" i="2"/>
  <c r="G51" i="2"/>
  <c r="H51" i="2"/>
  <c r="I51" i="2"/>
  <c r="J51" i="2"/>
  <c r="K51" i="2"/>
  <c r="L51" i="2"/>
  <c r="M51" i="2"/>
  <c r="N51" i="2"/>
  <c r="F52" i="2"/>
  <c r="G52" i="2"/>
  <c r="H52" i="2"/>
  <c r="I52" i="2"/>
  <c r="J52" i="2"/>
  <c r="K52" i="2"/>
  <c r="L52" i="2"/>
  <c r="M52" i="2"/>
  <c r="N52" i="2"/>
  <c r="F53" i="2"/>
  <c r="G53" i="2"/>
  <c r="H53" i="2"/>
  <c r="I53" i="2"/>
  <c r="J53" i="2"/>
  <c r="K53" i="2"/>
  <c r="L53" i="2"/>
  <c r="M53" i="2"/>
  <c r="N53" i="2"/>
  <c r="F56" i="2"/>
  <c r="G56" i="2"/>
  <c r="H56" i="2"/>
  <c r="I56" i="2"/>
  <c r="J56" i="2"/>
  <c r="K56" i="2"/>
  <c r="L56" i="2"/>
  <c r="M56" i="2"/>
  <c r="N56" i="2"/>
  <c r="F57" i="2"/>
  <c r="G57" i="2"/>
  <c r="H57" i="2"/>
  <c r="I57" i="2"/>
  <c r="J57" i="2"/>
  <c r="K57" i="2"/>
  <c r="L57" i="2"/>
  <c r="M57" i="2"/>
  <c r="N57" i="2"/>
  <c r="F58" i="2"/>
  <c r="G58" i="2"/>
  <c r="H58" i="2"/>
  <c r="I58" i="2"/>
  <c r="J58" i="2"/>
  <c r="K58" i="2"/>
  <c r="L58" i="2"/>
  <c r="M58" i="2"/>
  <c r="N58" i="2"/>
  <c r="F59" i="2"/>
  <c r="G59" i="2"/>
  <c r="H59" i="2"/>
  <c r="I59" i="2"/>
  <c r="J59" i="2"/>
  <c r="K59" i="2"/>
  <c r="L59" i="2"/>
  <c r="M59" i="2"/>
  <c r="N59" i="2"/>
  <c r="F62" i="2"/>
  <c r="G62" i="2"/>
  <c r="H62" i="2"/>
  <c r="I62" i="2"/>
  <c r="J62" i="2"/>
  <c r="K62" i="2"/>
  <c r="L62" i="2"/>
  <c r="M62" i="2"/>
  <c r="N62" i="2"/>
  <c r="F63" i="2"/>
  <c r="G63" i="2"/>
  <c r="H63" i="2"/>
  <c r="I63" i="2"/>
  <c r="J63" i="2"/>
  <c r="K63" i="2"/>
  <c r="L63" i="2"/>
  <c r="M63" i="2"/>
  <c r="N63" i="2"/>
  <c r="F67" i="2"/>
  <c r="G67" i="2"/>
  <c r="H67" i="2"/>
  <c r="I67" i="2"/>
  <c r="J67" i="2"/>
  <c r="K67" i="2"/>
  <c r="L67" i="2"/>
  <c r="M67" i="2"/>
  <c r="N67" i="2"/>
  <c r="F68" i="2"/>
  <c r="G68" i="2"/>
  <c r="H68" i="2"/>
  <c r="I68" i="2"/>
  <c r="J68" i="2"/>
  <c r="K68" i="2"/>
  <c r="L68" i="2"/>
  <c r="M68" i="2"/>
  <c r="N68" i="2"/>
  <c r="F69" i="2"/>
  <c r="G69" i="2"/>
  <c r="H69" i="2"/>
  <c r="I69" i="2"/>
  <c r="J69" i="2"/>
  <c r="K69" i="2"/>
  <c r="L69" i="2"/>
  <c r="M69" i="2"/>
  <c r="N69" i="2"/>
  <c r="F70" i="2"/>
  <c r="G70" i="2"/>
  <c r="H70" i="2"/>
  <c r="I70" i="2"/>
  <c r="J70" i="2"/>
  <c r="K70" i="2"/>
  <c r="L70" i="2"/>
  <c r="M70" i="2"/>
  <c r="N70" i="2"/>
  <c r="N10" i="2"/>
  <c r="M10" i="2"/>
  <c r="L10" i="2"/>
  <c r="K10" i="2"/>
  <c r="J10" i="2"/>
  <c r="I10" i="2"/>
  <c r="H10" i="2"/>
  <c r="G10" i="2"/>
  <c r="F10" i="2"/>
  <c r="E10" i="2" l="1"/>
  <c r="E59" i="2"/>
  <c r="E53" i="2"/>
  <c r="E47" i="2"/>
  <c r="E41" i="2"/>
  <c r="E35" i="2"/>
  <c r="E29" i="2"/>
  <c r="E23" i="2"/>
  <c r="E17" i="2"/>
  <c r="E11" i="2"/>
  <c r="E4" i="2"/>
  <c r="E58" i="2"/>
  <c r="E52" i="2"/>
  <c r="E46" i="2"/>
  <c r="E40" i="2"/>
  <c r="E34" i="2"/>
  <c r="E28" i="2"/>
  <c r="E22" i="2"/>
  <c r="E16" i="2"/>
  <c r="E63" i="2"/>
  <c r="E57" i="2"/>
  <c r="E51" i="2"/>
  <c r="E45" i="2"/>
  <c r="E39" i="2"/>
  <c r="E33" i="2"/>
  <c r="E27" i="2"/>
  <c r="E21" i="2"/>
  <c r="E15" i="2"/>
  <c r="E62" i="2"/>
  <c r="E56" i="2"/>
  <c r="E50" i="2"/>
  <c r="E44" i="2"/>
  <c r="E38" i="2"/>
  <c r="E32" i="2"/>
  <c r="E26" i="2"/>
  <c r="E20" i="2"/>
  <c r="E14" i="2"/>
  <c r="O4" i="11"/>
  <c r="U4" i="11"/>
  <c r="T4" i="11"/>
  <c r="S4" i="11"/>
  <c r="P4" i="11"/>
  <c r="P10" i="2" l="1"/>
  <c r="Q10" i="2"/>
  <c r="S10" i="2"/>
  <c r="T10" i="2"/>
  <c r="U10" i="2"/>
  <c r="P11" i="2"/>
  <c r="Q11" i="2"/>
  <c r="S11" i="2"/>
  <c r="T11" i="2"/>
  <c r="U11" i="2"/>
  <c r="P14" i="2"/>
  <c r="Q14" i="2"/>
  <c r="S14" i="2"/>
  <c r="T14" i="2"/>
  <c r="U14" i="2"/>
  <c r="P15" i="2"/>
  <c r="Q15" i="2"/>
  <c r="S15" i="2"/>
  <c r="T15" i="2"/>
  <c r="U15" i="2"/>
  <c r="P16" i="2"/>
  <c r="Q16" i="2"/>
  <c r="S16" i="2"/>
  <c r="T16" i="2"/>
  <c r="U16" i="2"/>
  <c r="P17" i="2"/>
  <c r="Q17" i="2"/>
  <c r="S17" i="2"/>
  <c r="T17" i="2"/>
  <c r="U17" i="2"/>
  <c r="P20" i="2"/>
  <c r="Q20" i="2"/>
  <c r="S20" i="2"/>
  <c r="T20" i="2"/>
  <c r="U20" i="2"/>
  <c r="P21" i="2"/>
  <c r="Q21" i="2"/>
  <c r="S21" i="2"/>
  <c r="T21" i="2"/>
  <c r="U21" i="2"/>
  <c r="P22" i="2"/>
  <c r="Q22" i="2"/>
  <c r="S22" i="2"/>
  <c r="T22" i="2"/>
  <c r="U22" i="2"/>
  <c r="P23" i="2"/>
  <c r="Q23" i="2"/>
  <c r="S23" i="2"/>
  <c r="T23" i="2"/>
  <c r="U23" i="2"/>
  <c r="P26" i="2"/>
  <c r="Q26" i="2"/>
  <c r="S26" i="2"/>
  <c r="T26" i="2"/>
  <c r="U26" i="2"/>
  <c r="P27" i="2"/>
  <c r="Q27" i="2"/>
  <c r="S27" i="2"/>
  <c r="T27" i="2"/>
  <c r="U27" i="2"/>
  <c r="P28" i="2"/>
  <c r="Q28" i="2"/>
  <c r="S28" i="2"/>
  <c r="T28" i="2"/>
  <c r="U28" i="2"/>
  <c r="P29" i="2"/>
  <c r="Q29" i="2"/>
  <c r="S29" i="2"/>
  <c r="T29" i="2"/>
  <c r="U29" i="2"/>
  <c r="P32" i="2"/>
  <c r="Q32" i="2"/>
  <c r="S32" i="2"/>
  <c r="T32" i="2"/>
  <c r="U32" i="2"/>
  <c r="P33" i="2"/>
  <c r="Q33" i="2"/>
  <c r="S33" i="2"/>
  <c r="T33" i="2"/>
  <c r="U33" i="2"/>
  <c r="P34" i="2"/>
  <c r="Q34" i="2"/>
  <c r="S34" i="2"/>
  <c r="T34" i="2"/>
  <c r="U34" i="2"/>
  <c r="P35" i="2"/>
  <c r="Q35" i="2"/>
  <c r="S35" i="2"/>
  <c r="T35" i="2"/>
  <c r="U35" i="2"/>
  <c r="P38" i="2"/>
  <c r="Q38" i="2"/>
  <c r="S38" i="2"/>
  <c r="T38" i="2"/>
  <c r="U38" i="2"/>
  <c r="P39" i="2"/>
  <c r="Q39" i="2"/>
  <c r="S39" i="2"/>
  <c r="T39" i="2"/>
  <c r="U39" i="2"/>
  <c r="S40" i="2"/>
  <c r="T40" i="2"/>
  <c r="U40" i="2"/>
  <c r="S41" i="2"/>
  <c r="T41" i="2"/>
  <c r="U41" i="2"/>
  <c r="S44" i="2"/>
  <c r="T44" i="2"/>
  <c r="U44" i="2"/>
  <c r="S45" i="2"/>
  <c r="T45" i="2"/>
  <c r="U45" i="2"/>
  <c r="P46" i="2"/>
  <c r="S46" i="2"/>
  <c r="T46" i="2"/>
  <c r="U46" i="2"/>
  <c r="P47" i="2"/>
  <c r="S47" i="2"/>
  <c r="T47" i="2"/>
  <c r="U47" i="2"/>
  <c r="P50" i="2"/>
  <c r="S50" i="2"/>
  <c r="T50" i="2"/>
  <c r="U50" i="2"/>
  <c r="P51" i="2"/>
  <c r="S51" i="2"/>
  <c r="T51" i="2"/>
  <c r="U51" i="2"/>
  <c r="P52" i="2"/>
  <c r="S52" i="2"/>
  <c r="T52" i="2"/>
  <c r="U52" i="2"/>
  <c r="P53" i="2"/>
  <c r="S53" i="2"/>
  <c r="T53" i="2"/>
  <c r="U53" i="2"/>
  <c r="P56" i="2"/>
  <c r="S56" i="2"/>
  <c r="T56" i="2"/>
  <c r="U56" i="2"/>
  <c r="P57" i="2"/>
  <c r="S57" i="2"/>
  <c r="T57" i="2"/>
  <c r="U57" i="2"/>
  <c r="P58" i="2"/>
  <c r="S58" i="2"/>
  <c r="T58" i="2"/>
  <c r="U58" i="2"/>
  <c r="P59" i="2"/>
  <c r="S59" i="2"/>
  <c r="T59" i="2"/>
  <c r="U59" i="2"/>
  <c r="P62" i="2"/>
  <c r="S62" i="2"/>
  <c r="T62" i="2"/>
  <c r="U62" i="2"/>
  <c r="P63" i="2"/>
  <c r="S63" i="2"/>
  <c r="T63" i="2"/>
  <c r="U63" i="2"/>
  <c r="P67" i="2"/>
  <c r="S67" i="2"/>
  <c r="T67" i="2"/>
  <c r="U67" i="2"/>
  <c r="P68" i="2"/>
  <c r="S68" i="2"/>
  <c r="T68" i="2"/>
  <c r="U68" i="2"/>
  <c r="P69" i="2"/>
  <c r="S69" i="2"/>
  <c r="T69" i="2"/>
  <c r="U69" i="2"/>
  <c r="P70" i="2"/>
  <c r="S70" i="2"/>
  <c r="T70" i="2"/>
  <c r="U70" i="2"/>
  <c r="P5" i="2"/>
  <c r="Q5" i="2"/>
  <c r="S5" i="2"/>
  <c r="T5" i="2"/>
  <c r="U5" i="2"/>
  <c r="P8" i="2"/>
  <c r="Q8" i="2"/>
  <c r="S8" i="2"/>
  <c r="T8" i="2"/>
  <c r="U8" i="2"/>
  <c r="P9" i="2"/>
  <c r="Q9" i="2"/>
  <c r="S9" i="2"/>
  <c r="T9" i="2"/>
  <c r="U9" i="2"/>
  <c r="Q4" i="2"/>
  <c r="T4" i="2"/>
  <c r="U4" i="2"/>
  <c r="P4" i="2"/>
  <c r="R38" i="2" l="1"/>
  <c r="R32" i="2"/>
  <c r="R26" i="2"/>
  <c r="R17" i="2"/>
  <c r="R11" i="2"/>
  <c r="R27" i="2"/>
  <c r="R21" i="2"/>
  <c r="R23" i="2"/>
  <c r="R5" i="2"/>
  <c r="R33" i="2"/>
  <c r="R39" i="2"/>
  <c r="R15" i="2"/>
  <c r="R9" i="2"/>
  <c r="R34" i="2"/>
  <c r="R28" i="2"/>
  <c r="R22" i="2"/>
  <c r="R16" i="2"/>
  <c r="R10" i="2"/>
  <c r="R35" i="2"/>
  <c r="R29" i="2"/>
  <c r="R4" i="2"/>
  <c r="R20" i="2"/>
  <c r="R14" i="2"/>
  <c r="R8" i="2"/>
  <c r="Q64" i="11"/>
  <c r="R64" i="11" s="1"/>
  <c r="Q63" i="2" l="1"/>
  <c r="R63" i="2" s="1"/>
  <c r="Q62" i="2"/>
  <c r="R62" i="2" s="1"/>
  <c r="Q59" i="2"/>
  <c r="R59" i="2" s="1"/>
  <c r="Q58" i="2"/>
  <c r="R58" i="2" s="1"/>
  <c r="Q51" i="2"/>
  <c r="R51" i="2" s="1"/>
  <c r="Q50" i="2"/>
  <c r="R50" i="2" s="1"/>
  <c r="Q47" i="2"/>
  <c r="R47" i="2" s="1"/>
  <c r="Q46" i="2"/>
  <c r="R46" i="2" s="1"/>
  <c r="Q57" i="2"/>
  <c r="R57" i="2" s="1"/>
  <c r="Q56" i="2"/>
  <c r="R56" i="2" s="1"/>
  <c r="Q53" i="2"/>
  <c r="R53" i="2" s="1"/>
  <c r="Q52" i="2"/>
  <c r="R52" i="2" s="1"/>
  <c r="B56" i="10"/>
  <c r="C56" i="10" s="1"/>
  <c r="B54" i="10"/>
  <c r="C54" i="10" s="1"/>
  <c r="B53" i="10"/>
  <c r="C53" i="10" s="1"/>
  <c r="Q68" i="2"/>
  <c r="R68" i="2" s="1"/>
  <c r="Q67" i="2"/>
  <c r="R67" i="2" s="1"/>
  <c r="Q89" i="11"/>
  <c r="R89" i="11" s="1"/>
  <c r="Q88" i="11"/>
  <c r="R88" i="11" s="1"/>
  <c r="Q87" i="11"/>
  <c r="R87" i="11" s="1"/>
  <c r="Q86" i="11"/>
  <c r="R86" i="11" s="1"/>
  <c r="Q85" i="11"/>
  <c r="R85" i="11" s="1"/>
  <c r="Q84" i="11"/>
  <c r="R84" i="11" s="1"/>
  <c r="Q83" i="11"/>
  <c r="R83" i="11" s="1"/>
  <c r="Q82" i="11"/>
  <c r="R82" i="11" s="1"/>
  <c r="Q81" i="11"/>
  <c r="R81" i="11" s="1"/>
  <c r="Q80" i="11"/>
  <c r="R80" i="11" s="1"/>
  <c r="Q79" i="11"/>
  <c r="R79" i="11" s="1"/>
  <c r="Q78" i="11"/>
  <c r="R78" i="11" s="1"/>
  <c r="Q53" i="11"/>
  <c r="R53" i="11" s="1"/>
  <c r="Q52" i="11"/>
  <c r="R52" i="11" s="1"/>
  <c r="Q51" i="11"/>
  <c r="R51" i="11" s="1"/>
  <c r="Q50" i="11"/>
  <c r="R50" i="11" s="1"/>
  <c r="Q49" i="11"/>
  <c r="R49" i="11" s="1"/>
  <c r="Q48" i="11"/>
  <c r="R48" i="11" s="1"/>
  <c r="Q47" i="11"/>
  <c r="R47" i="11" s="1"/>
  <c r="Q46" i="11"/>
  <c r="R46" i="11" s="1"/>
  <c r="Q45" i="11"/>
  <c r="R45" i="11" s="1"/>
  <c r="Q44" i="11"/>
  <c r="R44" i="11" s="1"/>
  <c r="Q43" i="11"/>
  <c r="R43" i="11" s="1"/>
  <c r="Q42" i="11"/>
  <c r="R42" i="11" s="1"/>
  <c r="Q65" i="11"/>
  <c r="R65" i="11" s="1"/>
  <c r="Q63" i="11"/>
  <c r="R63" i="11" s="1"/>
  <c r="Q62" i="11"/>
  <c r="R62" i="11" s="1"/>
  <c r="Q61" i="11"/>
  <c r="R61" i="11" s="1"/>
  <c r="Q60" i="11"/>
  <c r="R60" i="11" s="1"/>
  <c r="Q59" i="11"/>
  <c r="R59" i="11" s="1"/>
  <c r="Q58" i="11"/>
  <c r="R58" i="11" s="1"/>
  <c r="Q57" i="11"/>
  <c r="R57" i="11" s="1"/>
  <c r="Q56" i="11"/>
  <c r="R56" i="11" s="1"/>
  <c r="Q55" i="11"/>
  <c r="R55" i="11" s="1"/>
  <c r="Q54" i="11"/>
  <c r="R54" i="11" s="1"/>
  <c r="Q15" i="11"/>
  <c r="R15" i="11" s="1"/>
  <c r="Q14" i="11"/>
  <c r="R14" i="11" s="1"/>
  <c r="Q12" i="11"/>
  <c r="R12" i="11" s="1"/>
  <c r="Q11" i="11"/>
  <c r="R11" i="11" s="1"/>
  <c r="Q10" i="11"/>
  <c r="R10" i="11" s="1"/>
  <c r="Q32" i="11"/>
  <c r="R32" i="11" s="1"/>
  <c r="Q31" i="11"/>
  <c r="R31" i="11" s="1"/>
  <c r="Q20" i="11"/>
  <c r="R20" i="11" s="1"/>
  <c r="Q19" i="11"/>
  <c r="R19" i="11" s="1"/>
  <c r="Q6" i="11"/>
  <c r="R6" i="11" s="1"/>
  <c r="Q5" i="11"/>
  <c r="R5" i="11" s="1"/>
  <c r="Q17" i="11" l="1"/>
  <c r="R17" i="11" s="1"/>
  <c r="Q13" i="11"/>
  <c r="R13" i="11" s="1"/>
  <c r="Q16" i="3"/>
  <c r="R16" i="3" s="1"/>
  <c r="Q40" i="2"/>
  <c r="P40" i="2"/>
  <c r="Q69" i="2"/>
  <c r="R69" i="2" s="1"/>
  <c r="Q70" i="2"/>
  <c r="R70" i="2" s="1"/>
  <c r="Q41" i="2"/>
  <c r="P41" i="2"/>
  <c r="Q44" i="2"/>
  <c r="P44" i="2"/>
  <c r="Q45" i="2"/>
  <c r="P45" i="2"/>
  <c r="R45" i="2" l="1"/>
  <c r="R41" i="2"/>
  <c r="R44" i="2"/>
  <c r="R40" i="2"/>
  <c r="E24" i="12" l="1"/>
  <c r="E34" i="12"/>
  <c r="E30" i="12"/>
  <c r="E36" i="12"/>
  <c r="E40" i="12"/>
  <c r="E44" i="12"/>
  <c r="E46" i="12"/>
  <c r="E22" i="12"/>
  <c r="E26" i="12"/>
  <c r="E28" i="12"/>
  <c r="E32" i="12"/>
  <c r="E38" i="12"/>
  <c r="E42" i="12"/>
  <c r="E50" i="12"/>
  <c r="E48" i="12"/>
  <c r="Q77" i="11"/>
  <c r="R77" i="11" s="1"/>
  <c r="Q76" i="11"/>
  <c r="R76" i="11" s="1"/>
  <c r="Q75" i="11"/>
  <c r="R75" i="11" s="1"/>
  <c r="Q74" i="11"/>
  <c r="R74" i="11" s="1"/>
  <c r="Q73" i="11"/>
  <c r="R73" i="11" s="1"/>
  <c r="Q72" i="11"/>
  <c r="R72" i="11" s="1"/>
  <c r="Q71" i="11"/>
  <c r="R71" i="11" s="1"/>
  <c r="Q70" i="11"/>
  <c r="R70" i="11" s="1"/>
  <c r="Q69" i="11"/>
  <c r="R69" i="11" s="1"/>
  <c r="Q68" i="11"/>
  <c r="R68" i="11" s="1"/>
  <c r="Q67" i="11"/>
  <c r="R67" i="11" s="1"/>
  <c r="Q66" i="11"/>
  <c r="R66" i="11" s="1"/>
  <c r="E8" i="12" l="1"/>
  <c r="E12" i="12"/>
  <c r="E16" i="12"/>
  <c r="E6" i="12"/>
  <c r="E10" i="12"/>
  <c r="E14" i="12"/>
  <c r="E18" i="12"/>
  <c r="Q30" i="11" l="1"/>
  <c r="R30" i="11" s="1"/>
  <c r="Q18" i="11"/>
  <c r="R18" i="11" s="1"/>
  <c r="E4" i="12" l="1"/>
  <c r="R4" i="3" l="1"/>
  <c r="Q4" i="11" l="1"/>
  <c r="R4" i="11" s="1"/>
  <c r="E5" i="2" l="1"/>
  <c r="E9" i="2"/>
  <c r="E8" i="2"/>
</calcChain>
</file>

<file path=xl/sharedStrings.xml><?xml version="1.0" encoding="utf-8"?>
<sst xmlns="http://schemas.openxmlformats.org/spreadsheetml/2006/main" count="4578" uniqueCount="584">
  <si>
    <t>Изображение</t>
  </si>
  <si>
    <t>Артикул</t>
  </si>
  <si>
    <t>Аналог</t>
  </si>
  <si>
    <t>Класс защиты, IP</t>
  </si>
  <si>
    <t>Гарантия</t>
  </si>
  <si>
    <t>Наименование</t>
  </si>
  <si>
    <t>Светодиоды</t>
  </si>
  <si>
    <t>Материал</t>
  </si>
  <si>
    <t>Д (косинусная)</t>
  </si>
  <si>
    <t>Срок службы</t>
  </si>
  <si>
    <t>Характеристики</t>
  </si>
  <si>
    <t>Рабочая t°</t>
  </si>
  <si>
    <t>Сos φ</t>
  </si>
  <si>
    <t>Рабочее напряжение</t>
  </si>
  <si>
    <t>КСС</t>
  </si>
  <si>
    <t>100 000 ч</t>
  </si>
  <si>
    <t>Размер, мм</t>
  </si>
  <si>
    <t>Вес, кг</t>
  </si>
  <si>
    <t>5000К</t>
  </si>
  <si>
    <t>Л (полуширокая)</t>
  </si>
  <si>
    <t>-</t>
  </si>
  <si>
    <t>Описание</t>
  </si>
  <si>
    <t>60 000 ч</t>
  </si>
  <si>
    <t>Samsung COB G2</t>
  </si>
  <si>
    <t>100 000 ч.</t>
  </si>
  <si>
    <t>176-264В AС</t>
  </si>
  <si>
    <t>К (концентрированная), 12 гр</t>
  </si>
  <si>
    <t>К (концентрированная), 27 гр</t>
  </si>
  <si>
    <t>Г (глубокая), 58 гр</t>
  </si>
  <si>
    <t>Цветовая темп., К</t>
  </si>
  <si>
    <t>Серия "Универсал"</t>
  </si>
  <si>
    <t>Серия "Прожектор"</t>
  </si>
  <si>
    <t>"Прожектор КОБ"</t>
  </si>
  <si>
    <t>"Прожектор"</t>
  </si>
  <si>
    <t xml:space="preserve">Мощность Вт </t>
  </si>
  <si>
    <t xml:space="preserve">МощностьВт </t>
  </si>
  <si>
    <t>Эффективность
лм/Вт</t>
  </si>
  <si>
    <t>Свет. поток, лм</t>
  </si>
  <si>
    <t>Свет.
поток, лм</t>
  </si>
  <si>
    <t>224х103х147</t>
  </si>
  <si>
    <t>274х103х147</t>
  </si>
  <si>
    <t>324х103х147</t>
  </si>
  <si>
    <t>524х103х147</t>
  </si>
  <si>
    <t>224х100х126</t>
  </si>
  <si>
    <t>274х100х126</t>
  </si>
  <si>
    <t>324х100х126</t>
  </si>
  <si>
    <t>524х100х126</t>
  </si>
  <si>
    <t>224х210х147</t>
  </si>
  <si>
    <t>274х210х147</t>
  </si>
  <si>
    <t>324х210х147</t>
  </si>
  <si>
    <t>524х210х147</t>
  </si>
  <si>
    <t>224х262х82</t>
  </si>
  <si>
    <t>274х262х82</t>
  </si>
  <si>
    <t>324х262х82</t>
  </si>
  <si>
    <t>524х262х82</t>
  </si>
  <si>
    <t>224x245x163</t>
  </si>
  <si>
    <t>274x245x163</t>
  </si>
  <si>
    <t>324x245x163</t>
  </si>
  <si>
    <t>524x245x163</t>
  </si>
  <si>
    <t>224х220х116</t>
  </si>
  <si>
    <t>274х220х116</t>
  </si>
  <si>
    <t>324х220х116</t>
  </si>
  <si>
    <t>524х220х116</t>
  </si>
  <si>
    <t>224x320x147</t>
  </si>
  <si>
    <t>274x320x147</t>
  </si>
  <si>
    <t>324x320x147</t>
  </si>
  <si>
    <t>524x320x147</t>
  </si>
  <si>
    <t>224x320x126</t>
  </si>
  <si>
    <t>274x320x126</t>
  </si>
  <si>
    <t>324x320x126</t>
  </si>
  <si>
    <t>524x320x126</t>
  </si>
  <si>
    <t>224x326x147</t>
  </si>
  <si>
    <t>274x326x147</t>
  </si>
  <si>
    <t>324x326x147</t>
  </si>
  <si>
    <t>524x326x147</t>
  </si>
  <si>
    <t>224x326x126</t>
  </si>
  <si>
    <t>274x326x126</t>
  </si>
  <si>
    <t>324x326x126</t>
  </si>
  <si>
    <t>524x326x133</t>
  </si>
  <si>
    <t>479х100х151</t>
  </si>
  <si>
    <t>566х100х169</t>
  </si>
  <si>
    <t>652х100х194</t>
  </si>
  <si>
    <t>1031х100х294</t>
  </si>
  <si>
    <t>497х210х146</t>
  </si>
  <si>
    <t>583х210х169</t>
  </si>
  <si>
    <t>327х103х154</t>
  </si>
  <si>
    <t>200х137х195</t>
  </si>
  <si>
    <t>200х137х188</t>
  </si>
  <si>
    <t>200х137х174</t>
  </si>
  <si>
    <t>200х137х166</t>
  </si>
  <si>
    <t>200х302х198</t>
  </si>
  <si>
    <t>200х302х191</t>
  </si>
  <si>
    <t>200х299х128</t>
  </si>
  <si>
    <t>200х299х120</t>
  </si>
  <si>
    <t>200х412х195</t>
  </si>
  <si>
    <t>200х412х188</t>
  </si>
  <si>
    <t>200х412х174</t>
  </si>
  <si>
    <t>200х412х166</t>
  </si>
  <si>
    <t>Samsung LM281</t>
  </si>
  <si>
    <t>5 лет</t>
  </si>
  <si>
    <t>VRN-UN-32-G50K67-U</t>
  </si>
  <si>
    <t>VRN-UN-32-G50K67-K</t>
  </si>
  <si>
    <t>VRN-UN-64D-G50K67-U</t>
  </si>
  <si>
    <t>VRN-UN-64D-G50K67-K</t>
  </si>
  <si>
    <t>VRN-UN-64D-G50K67-K90</t>
  </si>
  <si>
    <t>VRN-UN-64D-G50K67-U90</t>
  </si>
  <si>
    <t>VRN-UN-48-G50K67-U</t>
  </si>
  <si>
    <t>VRN-UN-48-G50K67-K</t>
  </si>
  <si>
    <t>VRN-UN-96D-G50K67-U</t>
  </si>
  <si>
    <t>VRN-UN-96D-G50K67-K</t>
  </si>
  <si>
    <t>VRN-UN-96D-G50K67-K90</t>
  </si>
  <si>
    <t>VRN-UN-96D-G50K67-U90</t>
  </si>
  <si>
    <t>VRN-UN-62-G50K67-U</t>
  </si>
  <si>
    <t>VRN-UN-62-G50K67-K</t>
  </si>
  <si>
    <t>VRN-UN-124D-G50K67-U</t>
  </si>
  <si>
    <t>VRN-UN-124D-G50K67-K</t>
  </si>
  <si>
    <t>VRN-UN-124D-G50K67-K90</t>
  </si>
  <si>
    <t>VRN-UN-124D-G50K67-U90</t>
  </si>
  <si>
    <t>VRN-UN-96-G50K67-U</t>
  </si>
  <si>
    <t>VRN-UN-96-G50K67-K</t>
  </si>
  <si>
    <t>VRN-UN-192D-G50K67-U</t>
  </si>
  <si>
    <t>VRN-UN-192D-G50K67-K</t>
  </si>
  <si>
    <t>VRN-UN-192D-G50K67-K90</t>
  </si>
  <si>
    <t>VRN-UN-192D-G50K67-U90</t>
  </si>
  <si>
    <t>VRN-UN-64D-G50K67-UV</t>
  </si>
  <si>
    <t>VRN-UN-96D-G50K67-UV</t>
  </si>
  <si>
    <t>VRN-UN-124D-G50K67-UV</t>
  </si>
  <si>
    <t>VRN-UN-192D-G50K67-UV</t>
  </si>
  <si>
    <t>VRN-UN-192Q-G50K67-UV</t>
  </si>
  <si>
    <t>VRN-UN-248Q-G50K67-UV</t>
  </si>
  <si>
    <t>VRN-UN-96T-G50K67-U</t>
  </si>
  <si>
    <t>VRN-UN-144T-G50K67-U</t>
  </si>
  <si>
    <t>VRN-UN-186T-G50K67-U</t>
  </si>
  <si>
    <t>VRN-UN-288T-G50K67-U</t>
  </si>
  <si>
    <t>VRN-UN-96T-G50K67-U90</t>
  </si>
  <si>
    <t>VRN-UN-144T-G50K67-U90</t>
  </si>
  <si>
    <t>VRN-UN-186T-G50K67-U90</t>
  </si>
  <si>
    <t>VRN-UN-288T-G50K67-U90</t>
  </si>
  <si>
    <t>VRN-UN-96T-G50K67-K</t>
  </si>
  <si>
    <t>VRN-UN-144T-G50K67-K</t>
  </si>
  <si>
    <t>VRN-UN-186T-G50K67-K</t>
  </si>
  <si>
    <t>VRN-UN-288T-G50K67-K</t>
  </si>
  <si>
    <t>VRN-UN-96T-G50K67-K90</t>
  </si>
  <si>
    <t>VRN-UN-144T-G50K67-K90</t>
  </si>
  <si>
    <t>VRN-UN-186T-G50K67-K90</t>
  </si>
  <si>
    <t>VRN-UN-288T-G50K67-K90</t>
  </si>
  <si>
    <t>VRN-LP12-27-A50K67-U</t>
  </si>
  <si>
    <t>VRN-LP12-53-A50K67-U</t>
  </si>
  <si>
    <t>VRN-LP12-79-A50K67-U</t>
  </si>
  <si>
    <t>VRN-LP27-27-A50K67-U</t>
  </si>
  <si>
    <t>VRN-LP27-53-A50K67-U</t>
  </si>
  <si>
    <t>VRN-LP27-79-A50K67-U</t>
  </si>
  <si>
    <t>VRN-LP58-27-A50K67-U</t>
  </si>
  <si>
    <t>VRN-LP58-53-A50K67-U</t>
  </si>
  <si>
    <t>VRN-LP58-79-A50K67-U</t>
  </si>
  <si>
    <t>VRN-LP100-27-A50K67-U</t>
  </si>
  <si>
    <t>VRN-LP100-53-A50K67-U</t>
  </si>
  <si>
    <t>VRN-LP100-79-A50K67-U</t>
  </si>
  <si>
    <t>VRN-LP12-54D-A50K67-U</t>
  </si>
  <si>
    <t>VRN-LP12-106D-A50K67-U</t>
  </si>
  <si>
    <t>VRN-LP12-158D-A50K67-U</t>
  </si>
  <si>
    <t>VRN-LP27-54D-A50K67-U</t>
  </si>
  <si>
    <t>VRN-LP27-106D-A50K67-U</t>
  </si>
  <si>
    <t>VRN-LP27-158D-A50K67-U</t>
  </si>
  <si>
    <t>VRN-LP58-54D-A50K67-U</t>
  </si>
  <si>
    <t>VRN-LP58-106D-A50K67-U</t>
  </si>
  <si>
    <t>VRN-LP58-158D-A50K67-U</t>
  </si>
  <si>
    <t>VRN-LP100-54D-A50K67-U</t>
  </si>
  <si>
    <t>VRN-LP100-106D-A50K67-U</t>
  </si>
  <si>
    <t>VRN-LP100-158D-A50K67-U</t>
  </si>
  <si>
    <t>VRN-LP12-81T-A50K67-U</t>
  </si>
  <si>
    <t>VRN-LP12-159T-A50K67-U</t>
  </si>
  <si>
    <t>VRN-LP12-237T-A50K67-U</t>
  </si>
  <si>
    <t>VRN-LP27-81T-A50K67-U</t>
  </si>
  <si>
    <t>VRN-LP27-159T-A50K67-U</t>
  </si>
  <si>
    <t>VRN-LP27-237T-A50K67-U</t>
  </si>
  <si>
    <t>VRN-LP58-81T-A50K67-U</t>
  </si>
  <si>
    <t>VRN-LP58-159T-A50K67-U</t>
  </si>
  <si>
    <t>VRN-LP58-237T-A50K67-U</t>
  </si>
  <si>
    <t>VRN-LP100-81T-A50K67-U</t>
  </si>
  <si>
    <t>VRN-LP100-159T-A50K67-U</t>
  </si>
  <si>
    <t>VRN-LP100-237T-A50K67-U</t>
  </si>
  <si>
    <t>VRN-LP12-27-A50K67-K</t>
  </si>
  <si>
    <t>VRN-LP12-53-A50K67-K</t>
  </si>
  <si>
    <t>VRN-LP12-79-A50K67-K</t>
  </si>
  <si>
    <t>VRN-LP27-27-A50K67-K</t>
  </si>
  <si>
    <t>VRN-LP27-53-A50K67-K</t>
  </si>
  <si>
    <t>VRN-LP27-79-A50K67-K</t>
  </si>
  <si>
    <t>VRN-LP58-27-A50K67-K</t>
  </si>
  <si>
    <t>VRN-LP58-53-A50K67-K</t>
  </si>
  <si>
    <t>VRN-LP58-79-A50K67-K</t>
  </si>
  <si>
    <t>VRN-LP100-27-A50K67-K</t>
  </si>
  <si>
    <t>VRN-LP100-53-A50K67-K</t>
  </si>
  <si>
    <t>VRN-LP100-79-A50K67-K</t>
  </si>
  <si>
    <t>VRN-LP12-54D-A50K67-K</t>
  </si>
  <si>
    <t>VRN-LP12-106D-A50K67-K</t>
  </si>
  <si>
    <t>VRN-LP12-158D-A50K67-K</t>
  </si>
  <si>
    <t>VRN-LP27-54D-A50K67-K</t>
  </si>
  <si>
    <t>VRN-LP27-106D-A50K67-K</t>
  </si>
  <si>
    <t>VRN-LP27-158D-A50K67-K</t>
  </si>
  <si>
    <t>VRN-LP58-54D-A50K67-K</t>
  </si>
  <si>
    <t>VRN-LP58-106D-A50K67-K</t>
  </si>
  <si>
    <t>VRN-LP58-158D-A50K67-K</t>
  </si>
  <si>
    <t>VRN-LP100-54D-A50K67-K</t>
  </si>
  <si>
    <t>VRN-LP100-106D-A50K67-K</t>
  </si>
  <si>
    <t>VRN-LP100-158D-A50K67-K</t>
  </si>
  <si>
    <t>VRN-LP12-81T-A50K67-K</t>
  </si>
  <si>
    <t>VRN-LP12-159T-A50K67-K</t>
  </si>
  <si>
    <t>VRN-LP12-237T-A50K67-K</t>
  </si>
  <si>
    <t>VRN-LP27-81T-A50K67-K</t>
  </si>
  <si>
    <t>VRN-LP27-159T-A50K67-K</t>
  </si>
  <si>
    <t>VRN-LP27-237T-A50K67-K</t>
  </si>
  <si>
    <t>VRN-LP58-81T-A50K67-K</t>
  </si>
  <si>
    <t>VRN-LP58-159T-A50K67-K</t>
  </si>
  <si>
    <t>VRN-LP58-237T-A50K67-K</t>
  </si>
  <si>
    <t>VRN-LP100-81T-A50K67-K</t>
  </si>
  <si>
    <t>VRN-LP100-159T-A50K67-K</t>
  </si>
  <si>
    <t>VRN-LP100-237T-A50K67-K</t>
  </si>
  <si>
    <t>VRN-LC60-40-B50K67-U</t>
  </si>
  <si>
    <t>VRN-LC60-60-B50K67-U</t>
  </si>
  <si>
    <t>VRN-LC90-40-B50K67-U</t>
  </si>
  <si>
    <t>VRN-LC90-60-B50K67-U</t>
  </si>
  <si>
    <t>VRN-LC120-40-B50K67-U</t>
  </si>
  <si>
    <t>VRN-LC120-60-B50K67-U</t>
  </si>
  <si>
    <t>VRN-LC135X75-40-B50K67-U</t>
  </si>
  <si>
    <t>VRN-LC135X75-60-B50K67-U</t>
  </si>
  <si>
    <t>VRN-LC60-80D-B50K67-U</t>
  </si>
  <si>
    <t>VRN-LC60-120D-B50K67-U</t>
  </si>
  <si>
    <t>VRN-LC90-80D-B50K67-U</t>
  </si>
  <si>
    <t>VRN-LC90-120D-B50K67-U</t>
  </si>
  <si>
    <t>VRN-LC120-80D-B50K67-U</t>
  </si>
  <si>
    <t>VRN-LC120-120D-B50K67-U</t>
  </si>
  <si>
    <t>VRN-LC135X75-80D-B50K67-U</t>
  </si>
  <si>
    <t>VRN-LC135X75-120D-B50K67-U</t>
  </si>
  <si>
    <t>VRN-LC60-120T-B50K67-U</t>
  </si>
  <si>
    <t>VRN-LC60-180T-B50K67-U</t>
  </si>
  <si>
    <t>VRN-LC90-120T-B50K67-U</t>
  </si>
  <si>
    <t>VRN-LC90-180T-B50K67-U</t>
  </si>
  <si>
    <t>VRN-LC120-120T-B50K67-U</t>
  </si>
  <si>
    <t>VRN-LC120-180T-B50K67-U</t>
  </si>
  <si>
    <t>VRN-LC135X75-120T-B50K67-U</t>
  </si>
  <si>
    <t>VRN-LC135X75-180T-B50K67-U</t>
  </si>
  <si>
    <t>VRN-LC60-60-B50K67-K</t>
  </si>
  <si>
    <t>VRN-LC60-40-B50K67-K</t>
  </si>
  <si>
    <t>VRN-LC90-40-B50K67-K</t>
  </si>
  <si>
    <t>VRN-LC90-60-B50K67-K</t>
  </si>
  <si>
    <t>VRN-LC120-40-B50K67-K</t>
  </si>
  <si>
    <t>VRN-LC120-60-B50K67-K</t>
  </si>
  <si>
    <t>VRN-LC135X75-40-B50K67-K</t>
  </si>
  <si>
    <t>VRN-LC135X75-60-B50K67-K</t>
  </si>
  <si>
    <t>VRN-LC60-80D-B50K67-K</t>
  </si>
  <si>
    <t>VRN-LC60-120D-B50K67-K</t>
  </si>
  <si>
    <t>VRN-LC90-80D-B50K67-K</t>
  </si>
  <si>
    <t>VRN-LC90-120D-B50K67-K</t>
  </si>
  <si>
    <t>VRN-LC120-80D-B50K67-K</t>
  </si>
  <si>
    <t>VRN-LC120-120D-B50K67-K</t>
  </si>
  <si>
    <t>VRN-LC135X75-80D-B50K67-K</t>
  </si>
  <si>
    <t>VRN-LC135X75-120D-B50K67-K</t>
  </si>
  <si>
    <t>VRN-LC60-120T-B50K67-K</t>
  </si>
  <si>
    <t>VRN-LC60-180T-B50K67-K</t>
  </si>
  <si>
    <t>VRN-LC90-120T-B50K67-K</t>
  </si>
  <si>
    <t>VRN-LC90-180T-B50K67-K</t>
  </si>
  <si>
    <t>VRN-LC120-120T-B50K67-K</t>
  </si>
  <si>
    <t>VRN-LC120-180T-B50K67-K</t>
  </si>
  <si>
    <t>VRN-LC135X75-120T-B50K67-K</t>
  </si>
  <si>
    <t>VRN-LC135X75-180T-B50K67-K</t>
  </si>
  <si>
    <t>VRN-LM30X120-27-A50K67-U</t>
  </si>
  <si>
    <t>VRN-LM45X140-27-A50K67-U</t>
  </si>
  <si>
    <t>VRN-LM30X120-53-A50K67-U</t>
  </si>
  <si>
    <t>VRN-LM45X140-53-A50K67-U</t>
  </si>
  <si>
    <t>VRN-LM30X120-79-A50K67-U</t>
  </si>
  <si>
    <t>VRN-LM45X140-79-A50K67-U</t>
  </si>
  <si>
    <t>VRN-LM30X120-27-A50K67-K</t>
  </si>
  <si>
    <t>VRN-LM45X140-27-A50K67-K</t>
  </si>
  <si>
    <t>VRN-LM30X120-53-A50K67-K</t>
  </si>
  <si>
    <t>VRN-LM45X140-53-A50K67-K</t>
  </si>
  <si>
    <t>VRN-LM30X120-79-A50K67-K</t>
  </si>
  <si>
    <t>VRN-LM45X140-79-A50K67-K</t>
  </si>
  <si>
    <t>Экструдированный алюминиевый профиль (анодированный), вторичная оптика из акрила (ПММА) с  силиконовой прокладкой</t>
  </si>
  <si>
    <t>Экструдированный алюминиевый профиль (анодированный), боросиликатная оптика с  силиконовой прокладкой</t>
  </si>
  <si>
    <r>
      <rPr>
        <b/>
        <sz val="11"/>
        <rFont val="Arial"/>
        <family val="2"/>
        <charset val="204"/>
      </rPr>
      <t>5000К</t>
    </r>
    <r>
      <rPr>
        <sz val="10"/>
        <rFont val="Arial"/>
        <family val="2"/>
        <charset val="204"/>
      </rPr>
      <t xml:space="preserve"> 4000К* 3000К*</t>
    </r>
  </si>
  <si>
    <t>Опционально ДОСТУПНЫ другие МОДИФИКАЦИИ. Звоните, подберем или изготовим!</t>
  </si>
  <si>
    <r>
      <rPr>
        <b/>
        <sz val="22"/>
        <color theme="4" tint="-0.249977111117893"/>
        <rFont val="Arial"/>
        <family val="2"/>
        <charset val="204"/>
      </rPr>
      <t xml:space="preserve">* Цветовая температура 5000К по умолчанию. 3000К и 5000К - опционально. 
</t>
    </r>
    <r>
      <rPr>
        <b/>
        <sz val="22"/>
        <color theme="9" tint="-0.249977111117893"/>
        <rFont val="Arial"/>
        <family val="2"/>
        <charset val="204"/>
      </rPr>
      <t>ДОСТУПНЫ иные МОДИФИКАЦИИ. Звоните, подберем или изготовим!</t>
    </r>
  </si>
  <si>
    <r>
      <t xml:space="preserve">* Цветовая температура 5000К по умолчанию. 3000К и 5000К - опционально. 
</t>
    </r>
    <r>
      <rPr>
        <b/>
        <sz val="22"/>
        <color theme="9" tint="-0.249977111117893"/>
        <rFont val="Arial"/>
        <family val="2"/>
        <charset val="204"/>
      </rPr>
      <t>ДОСТУПНЫ другие МОДИФИКАЦИИ. Звоните, подберем или изготовим!</t>
    </r>
  </si>
  <si>
    <t>Серия "Магистраль"</t>
  </si>
  <si>
    <t>Серия "Прожектор КОБ"</t>
  </si>
  <si>
    <t>"Магистраль"</t>
  </si>
  <si>
    <t>"Универсал"</t>
  </si>
  <si>
    <r>
      <t>5</t>
    </r>
    <r>
      <rPr>
        <sz val="10"/>
        <rFont val="Arial"/>
        <family val="2"/>
        <charset val="204"/>
      </rPr>
      <t xml:space="preserve"> лет</t>
    </r>
  </si>
  <si>
    <t>КСС: Л (полуширокая)
Материал: Экструдированный алюминиевый профиль (анодированный), прозрачное силикатное стекло**
Рабочее напряжение: 176-264 В АС
Сos φ: 0,98
Рабочая t°:  -40°...+50°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t>
  </si>
  <si>
    <t>VRN-LM45X140-54D-A50K67-K</t>
  </si>
  <si>
    <t>VRN-LM45X140-106D-A50K67-K</t>
  </si>
  <si>
    <t>VRN-LM45X140-158D-A50K67-K</t>
  </si>
  <si>
    <t>VRN-LM30X120-54D-A50K67-K</t>
  </si>
  <si>
    <t>VRN-LM30X120-106D-A50K67-K</t>
  </si>
  <si>
    <t>VRN-LM30X120-158D-A50K67-K</t>
  </si>
  <si>
    <t>VRN-LM30X120-54D-A50K67-U</t>
  </si>
  <si>
    <t>VRN-LM30X120-106D-A50K67-U</t>
  </si>
  <si>
    <t>VRN-LM30X120-158D-A50K67-U</t>
  </si>
  <si>
    <t>VRN-LM45X140-54D-A50K67-U</t>
  </si>
  <si>
    <t>VRN-LM45X140-106D-A50K67-U</t>
  </si>
  <si>
    <t>VRN-LM45X140-158D-A50K67-U</t>
  </si>
  <si>
    <t>VRN-LM30X120-81T-A50K67-U</t>
  </si>
  <si>
    <t>VRN-LM45X140-81T-A50K67-U</t>
  </si>
  <si>
    <t>VRN-LM30X120-81T-A50K67-K</t>
  </si>
  <si>
    <t>VRN-LM45X140-81T-A50K67-K</t>
  </si>
  <si>
    <t>VRN-LM30X120-159T-A50K67-U</t>
  </si>
  <si>
    <t>VRN-LM45X140-159T-A50K67-U</t>
  </si>
  <si>
    <t>VRN-LM30X120-159T-A50K67-K</t>
  </si>
  <si>
    <t>VRN-LM45X140-159T-A50K67-K</t>
  </si>
  <si>
    <t>VRN-LM30X120-237T-A50K67-U</t>
  </si>
  <si>
    <t>VRN-LM45X140-237T-A50K67-U</t>
  </si>
  <si>
    <t>VRN-LM30X120-237T-A50K67-K</t>
  </si>
  <si>
    <t>VRN-LM45X140-237T-A50K67-K</t>
  </si>
  <si>
    <t>Samsung LH351</t>
  </si>
  <si>
    <t>VRN-UN-80-G50K67-U</t>
  </si>
  <si>
    <t>624х103х147</t>
  </si>
  <si>
    <t>VRN-UN-80-G50K67-K</t>
  </si>
  <si>
    <t>624х100х126</t>
  </si>
  <si>
    <t>VRN-UN-160D-G50K67-U</t>
  </si>
  <si>
    <t>VRN-UN-160D-G50K67-K</t>
  </si>
  <si>
    <t>VRN-UN-240T-G50K67-U</t>
  </si>
  <si>
    <t>VRN-UN-240T-G50K67-K</t>
  </si>
  <si>
    <t>VRN-UN-240T-G50K67-U90</t>
  </si>
  <si>
    <t>VRN-UN-240T-G50K67-K90</t>
  </si>
  <si>
    <t>VRN-UN-160D-G50K67-U90</t>
  </si>
  <si>
    <t>VRN-UN-160D-G50K67-K90</t>
  </si>
  <si>
    <t>624х210х147</t>
  </si>
  <si>
    <t>624х262х82</t>
  </si>
  <si>
    <t>624х245х163</t>
  </si>
  <si>
    <t>624х220х116</t>
  </si>
  <si>
    <t>624х320х147</t>
  </si>
  <si>
    <t>624х320х126</t>
  </si>
  <si>
    <t>624х326х147</t>
  </si>
  <si>
    <t>624х326х133</t>
  </si>
  <si>
    <t>VRN-UN-372T-G50K67-K90</t>
  </si>
  <si>
    <t>VRN-UN-372T-G50K67-U90</t>
  </si>
  <si>
    <t>VRN-UN-372T-G50K67-K</t>
  </si>
  <si>
    <t>VRN-UN-372T-G50K67-U</t>
  </si>
  <si>
    <t>VRN-UN-248D-G50K67-K90</t>
  </si>
  <si>
    <t>VRN-UN-248D-G50K67-U90</t>
  </si>
  <si>
    <t>VRN-UN-248D-G50K67-K</t>
  </si>
  <si>
    <t>VRN-UN-248D-G50K67-U</t>
  </si>
  <si>
    <t>VRN-UN-124-G50K67-K</t>
  </si>
  <si>
    <t>VRN-UN-124-G50K67-U</t>
  </si>
  <si>
    <t>1000х103х154</t>
  </si>
  <si>
    <t>М (равномерная)</t>
  </si>
  <si>
    <t>VRN-UN-32D-G50K67-UV</t>
  </si>
  <si>
    <t>VRN-UN-48D-G50K67-UV</t>
  </si>
  <si>
    <t>VRN-LS30X120-145-A50K67-U</t>
  </si>
  <si>
    <t>Серия "Склад"</t>
  </si>
  <si>
    <t>V - образное крепление ("Галочка")</t>
  </si>
  <si>
    <t>"Склад"</t>
  </si>
  <si>
    <t>Серия "Парк"</t>
  </si>
  <si>
    <t>"Парк"</t>
  </si>
  <si>
    <t>Рассеиватель - акрил (ПММА), основание из термостойкого пластика</t>
  </si>
  <si>
    <t>Серия "Офис"</t>
  </si>
  <si>
    <t>"Офис"</t>
  </si>
  <si>
    <t>Д (Косинусная)</t>
  </si>
  <si>
    <t>VRN-OF-30-PR50K20-U</t>
  </si>
  <si>
    <t>VRN-OF-40-PR50K20-U</t>
  </si>
  <si>
    <t>VRN-OF-50-PR50K20-U</t>
  </si>
  <si>
    <t>VRN-OF-30-MPR50K20-U</t>
  </si>
  <si>
    <t>VRN-OF-30-KL50K20-U</t>
  </si>
  <si>
    <t xml:space="preserve"> -5°...+35° С</t>
  </si>
  <si>
    <t>300х300х315 (посадочное отв. 64 мм)</t>
  </si>
  <si>
    <t>400х400х415 (посадочное отв. 64 мм)</t>
  </si>
  <si>
    <t>VRN-OF-40-MPR50K20-U</t>
  </si>
  <si>
    <t>VRN-OF-50-MPR50K20-U</t>
  </si>
  <si>
    <t>VRN-OF-40-KL50K20-U</t>
  </si>
  <si>
    <t>VRN-OF-50-KL50K20-U</t>
  </si>
  <si>
    <t>VRN-OF-30-MA50K20-U</t>
  </si>
  <si>
    <t>VRN-OF-40-MA50K20-U</t>
  </si>
  <si>
    <t>VRN-OF-50-MA50K20-U</t>
  </si>
  <si>
    <t>20**</t>
  </si>
  <si>
    <r>
      <t xml:space="preserve">* Цветовая температура 5000К по умолчанию. 3000К и 5000К - опционально. **IP54 - удорожание на 200 р.
</t>
    </r>
    <r>
      <rPr>
        <b/>
        <sz val="22"/>
        <color theme="9" tint="-0.249977111117893"/>
        <rFont val="Arial"/>
        <family val="2"/>
        <charset val="204"/>
      </rPr>
      <t>ДОСТУПНЫ другие МОДИФИКАЦИИ. Звоните, подберем или изготовим!</t>
    </r>
  </si>
  <si>
    <t>464х103х147</t>
  </si>
  <si>
    <t>464х100х126</t>
  </si>
  <si>
    <t>464х210х147</t>
  </si>
  <si>
    <t>464х262х82</t>
  </si>
  <si>
    <t>464х245х163</t>
  </si>
  <si>
    <t>464х220х116</t>
  </si>
  <si>
    <t>464х320х147</t>
  </si>
  <si>
    <t>464х320х126</t>
  </si>
  <si>
    <t>464х326х147</t>
  </si>
  <si>
    <t>464х326х133</t>
  </si>
  <si>
    <t>224х103х154</t>
  </si>
  <si>
    <t>224х210х154</t>
  </si>
  <si>
    <t>224х320х154</t>
  </si>
  <si>
    <t>224х100х133</t>
  </si>
  <si>
    <t>224х262х87</t>
  </si>
  <si>
    <t>224х320х133</t>
  </si>
  <si>
    <t>374х103х154</t>
  </si>
  <si>
    <t>374х100х133</t>
  </si>
  <si>
    <t>374х210х154</t>
  </si>
  <si>
    <t>374х262х87</t>
  </si>
  <si>
    <t>374х320х154</t>
  </si>
  <si>
    <t>374х320х133</t>
  </si>
  <si>
    <t>548х320х133</t>
  </si>
  <si>
    <t>548х103х154</t>
  </si>
  <si>
    <t>548х100х133</t>
  </si>
  <si>
    <t>548х210х154</t>
  </si>
  <si>
    <t>548х262х87</t>
  </si>
  <si>
    <t>548х320х154</t>
  </si>
  <si>
    <t>200-240 AC</t>
  </si>
  <si>
    <t>170х50</t>
  </si>
  <si>
    <t>Рассеиватель - матовый поликарбонат, основание - ABS пластик</t>
  </si>
  <si>
    <t>4000К</t>
  </si>
  <si>
    <t>1 год</t>
  </si>
  <si>
    <t>30 000 ч</t>
  </si>
  <si>
    <t xml:space="preserve"> -10°...+35° С</t>
  </si>
  <si>
    <t>VRN-ZKH-12-MP50K65-U</t>
  </si>
  <si>
    <t>"ЖКХ"</t>
  </si>
  <si>
    <t>Серия "ЖКХ"</t>
  </si>
  <si>
    <t>Код товара</t>
  </si>
  <si>
    <t>VRN-LP58-145-A50K67-U</t>
  </si>
  <si>
    <t>1024х103х154</t>
  </si>
  <si>
    <t>VRN-S30-30-MA50K67-SK</t>
  </si>
  <si>
    <t>VRN-S30-40-MA50K67-SK</t>
  </si>
  <si>
    <t>VRN-S30-30-A50K67-SK</t>
  </si>
  <si>
    <t>VRN-S30-40-A50K67-SK</t>
  </si>
  <si>
    <t>VRN-S30-50-A50K67-SK</t>
  </si>
  <si>
    <t>VRN-S35-30-A50K67-SK</t>
  </si>
  <si>
    <t>VRN-S30-30-AG50K67-SK</t>
  </si>
  <si>
    <t>VRN-S30-40-AG50K67-SK</t>
  </si>
  <si>
    <t>VRN-S30-50-AG50K67-SK</t>
  </si>
  <si>
    <t>VRN-S35-30-AG50K67-SK</t>
  </si>
  <si>
    <t>VRN-S35-40-AG50K67-SK</t>
  </si>
  <si>
    <t>VRN-S35-50-AG50K67-SK</t>
  </si>
  <si>
    <t>VRN-S40-30-AG50K67-SK</t>
  </si>
  <si>
    <t>VRN-S40-40-AG50K67-SK</t>
  </si>
  <si>
    <t>VRN-S40-50-AG50K67-SK</t>
  </si>
  <si>
    <t>VRN-S35-40-A50K67-SK</t>
  </si>
  <si>
    <t>VRN-S35-50-A50K67-SK</t>
  </si>
  <si>
    <t>VRN-S40-30-A50K67-SK</t>
  </si>
  <si>
    <t>VRN-S40-40-A50K67-SK</t>
  </si>
  <si>
    <t>VRN-S40-50-A50K67-SK</t>
  </si>
  <si>
    <t>VRN-S30-50-MA50K67-SK</t>
  </si>
  <si>
    <t>VRN-S35-30-MA50K67-SK</t>
  </si>
  <si>
    <t>VRN-S35-40-MA50K67-SK</t>
  </si>
  <si>
    <t>VRN-S35-50-MA50K67-SK</t>
  </si>
  <si>
    <t>VRN-S40-30-MA50K67-SK</t>
  </si>
  <si>
    <t>VRN-S40-40-MA50K67-SK</t>
  </si>
  <si>
    <t>VRN-S40-50-MA50K67-SK</t>
  </si>
  <si>
    <t>VRN-UNE-32-G40K67-U</t>
  </si>
  <si>
    <t>VRN-UNE-48-G40K67-U</t>
  </si>
  <si>
    <t>VRN-UNE-62-G40K67-U</t>
  </si>
  <si>
    <t>VRN-UNE-80-G40K67-U</t>
  </si>
  <si>
    <t>VRN-UNE-96-G40K67-U</t>
  </si>
  <si>
    <t>VRN-UNE-124-G40K67-U</t>
  </si>
  <si>
    <t>VRN-UNE-32-G40K67-K</t>
  </si>
  <si>
    <t>VRN-UNE-48-G40K67-K</t>
  </si>
  <si>
    <t>VRN-UNE-62-G40K67-K</t>
  </si>
  <si>
    <t>VRN-UNE-80-G40K67-K</t>
  </si>
  <si>
    <t>VRN-UNE-96-G40K67-K</t>
  </si>
  <si>
    <t>VRN-UNE-124-G40K67-K</t>
  </si>
  <si>
    <t>VRN-UNE-64D-G40K67-U</t>
  </si>
  <si>
    <t>VRN-UNE-96D-G40K67-U</t>
  </si>
  <si>
    <t>VRN-UNE-124D-G40K67-U</t>
  </si>
  <si>
    <t>VRN-UNE-160D-G40K67-U</t>
  </si>
  <si>
    <t>VRN-UNE-192D-G40K67-U</t>
  </si>
  <si>
    <t>VRN-UNE-248D-G40K67-U</t>
  </si>
  <si>
    <t>VRN-UNE-64D-G40K67-K</t>
  </si>
  <si>
    <t>VRN-UNE-96D-G40K67-K</t>
  </si>
  <si>
    <t>VRN-UNE-124D-G40K67-K</t>
  </si>
  <si>
    <t>VRN-UNE-160D-G40K67-K</t>
  </si>
  <si>
    <t>VRN-UNE-192D-G40K67-K</t>
  </si>
  <si>
    <t>VRN-UNE-248D-G40K67-K</t>
  </si>
  <si>
    <t>VRN-UNE-64D-G40K67-U90</t>
  </si>
  <si>
    <t>VRN-UNE-96D-G40K67-U90</t>
  </si>
  <si>
    <t>VRN-UNE-124D-G40K67-U90</t>
  </si>
  <si>
    <t>VRN-UNE-160D-G40K67-U90</t>
  </si>
  <si>
    <t>VRN-UNE-192D-G40K67-U90</t>
  </si>
  <si>
    <t>VRN-UNE-248D-G40K67-U90</t>
  </si>
  <si>
    <t>VRN-UNE-64D-G40K67-K90</t>
  </si>
  <si>
    <t>VRN-UNE-96D-G40K67-K90</t>
  </si>
  <si>
    <t>VRN-UNE-124D-G40K67-K90</t>
  </si>
  <si>
    <t>VRN-UNE-160D-G40K67-K90</t>
  </si>
  <si>
    <t>VRN-UNE-192D-G40K67-K90</t>
  </si>
  <si>
    <t>VRN-UNE-248D-G40K67-K90</t>
  </si>
  <si>
    <t>VRN-UNE-96T-G40K67-U</t>
  </si>
  <si>
    <t>VRN-UNE-144T-G40K67-U</t>
  </si>
  <si>
    <t>VRN-UNE-186T-G40K67-U</t>
  </si>
  <si>
    <t>VRN-UNE-240T-G40K67-U</t>
  </si>
  <si>
    <t>VRN-UNE-288T-G40K67-U</t>
  </si>
  <si>
    <t>VRN-UNE-372T-G40K67-U</t>
  </si>
  <si>
    <t>VRN-UNE-96T-G40K67-K</t>
  </si>
  <si>
    <t>VRN-UNE-144T-G40K67-K</t>
  </si>
  <si>
    <t>VRN-UNE-186T-G40K67-K</t>
  </si>
  <si>
    <t>VRN-UNE-240T-G40K67-K</t>
  </si>
  <si>
    <t>VRN-UNE-288T-G40K67-K</t>
  </si>
  <si>
    <t>VRN-UNE-372T-G40K67-K</t>
  </si>
  <si>
    <t>VRN-UNE-96T-G40K67-U90</t>
  </si>
  <si>
    <t>VRN-UNE-144T-G40K67-U90</t>
  </si>
  <si>
    <t>VRN-UNE-186T-G40K67-U90</t>
  </si>
  <si>
    <t>VRN-UNE-240T-G40K67-U90</t>
  </si>
  <si>
    <t>VRN-UNE-288T-G40K67-U90</t>
  </si>
  <si>
    <t>VRN-UNE-372T-G40K67-U90</t>
  </si>
  <si>
    <t>VRN-UNE-96T-G40K67-K90</t>
  </si>
  <si>
    <t>VRN-UNE-144T-G40K67-K90</t>
  </si>
  <si>
    <t>VRN-UNE-186T-G40K67-K90</t>
  </si>
  <si>
    <t>VRN-UNE-240T-G40K67-K90</t>
  </si>
  <si>
    <t>VRN-UNE-288T-G40K67-K90</t>
  </si>
  <si>
    <t>VRN-UNE-372T-G40K67-K90</t>
  </si>
  <si>
    <t>VRN-UNE-32D-G40K67-UV</t>
  </si>
  <si>
    <t>VRN-UNE-48D-G40K67-UV</t>
  </si>
  <si>
    <t>VRN-UNE-64D-G40K67-UV</t>
  </si>
  <si>
    <t>VRN-UNE-96D-G40K67-UV</t>
  </si>
  <si>
    <t>VRN-UNE-124D-G40K67-UV</t>
  </si>
  <si>
    <t>VRN-UNE-192D-G40K67-UV</t>
  </si>
  <si>
    <t>VRN-UNE-192Q-G40K67-UV</t>
  </si>
  <si>
    <t>VRN-UNE-248Q-G40K67-UV</t>
  </si>
  <si>
    <t>3 года</t>
  </si>
  <si>
    <t xml:space="preserve"> -60°...+50° С</t>
  </si>
  <si>
    <t>Раздел ЭКОНОМ</t>
  </si>
  <si>
    <t>"Универсал Эконом"</t>
  </si>
  <si>
    <t>Серия "Универсал Эконом"</t>
  </si>
  <si>
    <t>Серия "Прожектор Эконом"</t>
  </si>
  <si>
    <t>VRN-LS30X120-115-A50K67-U</t>
  </si>
  <si>
    <t>VRN-LME45X140-55-A50K67-K</t>
  </si>
  <si>
    <t>VRN-LME45X140-55-A50K67-U</t>
  </si>
  <si>
    <t>800х103х154</t>
  </si>
  <si>
    <t>"Прожектор Эконом"</t>
  </si>
  <si>
    <t>Серия "Магистраль Эконом"</t>
  </si>
  <si>
    <t>"Магистраль Эконом"</t>
  </si>
  <si>
    <t>250х137х195</t>
  </si>
  <si>
    <t>250х137х188</t>
  </si>
  <si>
    <t>250х302х198</t>
  </si>
  <si>
    <t>260х412х174</t>
  </si>
  <si>
    <t>274х302х191</t>
  </si>
  <si>
    <t>274х412х195</t>
  </si>
  <si>
    <t>274х412х188</t>
  </si>
  <si>
    <t>274х137х174</t>
  </si>
  <si>
    <t>274х137х166</t>
  </si>
  <si>
    <t>274х299х128</t>
  </si>
  <si>
    <t>274х299х120</t>
  </si>
  <si>
    <t>274х412х174</t>
  </si>
  <si>
    <t>274х412х166</t>
  </si>
  <si>
    <t>274х137х137</t>
  </si>
  <si>
    <t xml:space="preserve">** Цветовая температура: - 4000К
***Рассеиватель: - минеральное стекло.
</t>
  </si>
  <si>
    <t>КСС: Л (полуширокая)
Материал: Экструдированный алюминиевый профиль (анодированный), прозрачное силикатное стекло**
Рабочее напряжение: 176-264 В АС
Сos φ: 0,98
Рабочая t°:  -40°...+50° С
Срок службы: 100 000 ч
*Цветовая темп.:
 4000К;";" 
 **Рассеиватель: 
 - силикатное стекло.</t>
  </si>
  <si>
    <r>
      <t xml:space="preserve">* Цветовая температура: - 5000К (по умолчанию);
                                                - 3000К и 5000К (опционально).
**Рассеиватель:  - минеральное стекло (по умолчанию);
                              - прозрачный поликарбонат (опция);
                              - матовый поликарбонат (опция).
</t>
    </r>
    <r>
      <rPr>
        <b/>
        <sz val="22"/>
        <color theme="9" tint="-0.249977111117893"/>
        <rFont val="Arial"/>
        <family val="2"/>
        <charset val="204"/>
      </rPr>
      <t>ДОСТУПНЫ другие МОДИФИКАЦИИ. Звоните, подберем или изготовим!</t>
    </r>
  </si>
  <si>
    <t>Экструдированный алюминиевый профиль (анодированный), прозрачное минеральное стекло**</t>
  </si>
  <si>
    <t>Рассеиватель - акрил (ПММА), основание - металл с порошковой покраской</t>
  </si>
  <si>
    <t>50 000 ч</t>
  </si>
  <si>
    <t>Прожекторы большой мощности</t>
  </si>
  <si>
    <t>5000К 4000К* 3000К*</t>
  </si>
  <si>
    <t>548х540х160</t>
  </si>
  <si>
    <t>VRN-LP27-395P-A50K67-L</t>
  </si>
  <si>
    <t>VRN-LPE27-55-A50K67-U</t>
  </si>
  <si>
    <t>VRN-LPE58-55-A50K67-U</t>
  </si>
  <si>
    <t>VRN-LPE27-55-A50K67-K</t>
  </si>
  <si>
    <t>VRN-LPE58-55-A50K67-K</t>
  </si>
  <si>
    <t>VRN-LP58-115-A50K67-U</t>
  </si>
  <si>
    <t>VRN-LM78X136-32-A50K67-K</t>
  </si>
  <si>
    <t>VRN-LM78X136-96-A50K67-K</t>
  </si>
  <si>
    <t>280х100х133</t>
  </si>
  <si>
    <t>530х100х133</t>
  </si>
  <si>
    <t>790х100х133</t>
  </si>
  <si>
    <t>VRN-LP15-32-A50K67-K</t>
  </si>
  <si>
    <t>VRN-LP15-96-A50K67-K</t>
  </si>
  <si>
    <t>VRN-LP25-32-A50K67-K</t>
  </si>
  <si>
    <t>VRN-LP25-96-A50K67-K</t>
  </si>
  <si>
    <t>VRN-LP60-32-A50K67-K</t>
  </si>
  <si>
    <t>VRN-LP60-96-A50K67-K</t>
  </si>
  <si>
    <t>VRN-LP90-32-A50K67-K</t>
  </si>
  <si>
    <t>VRN-LP90-96-A50K67-K</t>
  </si>
  <si>
    <t>Г (глубокая), 60 гр</t>
  </si>
  <si>
    <t>К (концентрированная), 15 гр</t>
  </si>
  <si>
    <t>К (концентрированная), 25 гр</t>
  </si>
  <si>
    <t>Л (полуширокая), 100 гр</t>
  </si>
  <si>
    <t>Л (полуширокая), 90 гр</t>
  </si>
  <si>
    <t>Ш (широкая), 120 гр</t>
  </si>
  <si>
    <t>Ш (широкая), боковая, 135*75 гр</t>
  </si>
  <si>
    <t>Ш (широкая), боковая, 45*140 гр</t>
  </si>
  <si>
    <t>Ш (широкая), боковая, 30*120 гр</t>
  </si>
  <si>
    <t>Ш (широкая), боковая, 78*136 гр</t>
  </si>
  <si>
    <t>Ш (широкая), осевая, 30*120 гр</t>
  </si>
  <si>
    <t>VRN-LP15-64-A50K67-K</t>
  </si>
  <si>
    <t>VRN-LP25-64-A50K67-K</t>
  </si>
  <si>
    <t>VRN-LP60-64-A50K67-K</t>
  </si>
  <si>
    <t>VRN-LP90-64-A50K67-K</t>
  </si>
  <si>
    <t>VRN-LM78X136-64-A50K67-K</t>
  </si>
  <si>
    <t>Цена, руб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</si>
</sst>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43" formatCode="_-* #,##0.00\ _₽_-;\-* #,##0.00\ _₽_-;_-* &quot;-&quot;??\ _₽_-;_-@_-"/>
  </numFmts>
  <fonts count="27">
    <font>
      <sz val="10"/>
      <name val="Arial"/>
      <charset val="129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b/>
      <sz val="10"/>
      <name val="Arial"/>
      <family val="2"/>
      <charset val="204"/>
    </font>
    <font>
      <b/>
      <sz val="16"/>
      <color theme="4" tint="-0.249977111117893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color theme="3" tint="0.39997558519241921"/>
      <name val="Arial"/>
      <family val="2"/>
      <charset val="204"/>
    </font>
    <font>
      <sz val="14"/>
      <name val="Arial"/>
      <family val="2"/>
      <charset val="204"/>
    </font>
    <font>
      <b/>
      <sz val="24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2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22"/>
      <color theme="9" tint="-0.249977111117893"/>
      <name val="Arial"/>
      <family val="2"/>
      <charset val="204"/>
    </font>
    <font>
      <sz val="22"/>
      <name val="Arial"/>
      <family val="2"/>
      <charset val="204"/>
    </font>
    <font>
      <b/>
      <sz val="14"/>
      <color rgb="FF00B0F0"/>
      <name val="Arial"/>
      <family val="2"/>
      <charset val="204"/>
    </font>
    <font>
      <b/>
      <i/>
      <sz val="26"/>
      <name val="Arial"/>
      <family val="2"/>
      <charset val="204"/>
    </font>
    <font>
      <b/>
      <i/>
      <sz val="26"/>
      <color theme="1" tint="0.499984740745262"/>
      <name val="Arial"/>
      <family val="2"/>
      <charset val="204"/>
    </font>
    <font>
      <b/>
      <i/>
      <sz val="26"/>
      <color theme="3" tint="0.39997558519241921"/>
      <name val="Arial"/>
      <family val="2"/>
      <charset val="204"/>
    </font>
    <font>
      <b/>
      <sz val="24"/>
      <color theme="0"/>
      <name val="Arial"/>
      <family val="2"/>
      <charset val="204"/>
    </font>
    <font>
      <b/>
      <sz val="20"/>
      <color rgb="FF00B0F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7DFF4F"/>
        <bgColor indexed="64"/>
      </patternFill>
    </fill>
    <fill>
      <patternFill patternType="solid">
        <fgColor rgb="FFDDEDFF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757"/>
        <bgColor indexed="64"/>
      </patternFill>
    </fill>
    <fill>
      <patternFill patternType="solid">
        <fgColor rgb="FFFDE9D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11">
    <xf numFmtId="0" fontId="0" fillId="0" borderId="0" xfId="0"/>
    <xf numFmtId="0" fontId="0" fillId="2" borderId="0" xfId="0" applyFill="1"/>
    <xf numFmtId="0" fontId="9" fillId="2" borderId="0" xfId="0" applyFont="1" applyFill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 applyBorder="1" applyAlignment="1">
      <alignment vertical="center" wrapText="1"/>
    </xf>
    <xf numFmtId="0" fontId="5" fillId="0" borderId="0" xfId="0" applyFont="1"/>
    <xf numFmtId="0" fontId="0" fillId="0" borderId="0" xfId="0" applyFill="1"/>
    <xf numFmtId="0" fontId="0" fillId="0" borderId="0" xfId="0" applyAlignment="1">
      <alignment horizontal="left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1" fillId="4" borderId="0" xfId="0" applyFont="1" applyFill="1" applyAlignment="1">
      <alignment horizontal="left"/>
    </xf>
    <xf numFmtId="0" fontId="3" fillId="4" borderId="0" xfId="0" applyFont="1" applyFill="1"/>
    <xf numFmtId="0" fontId="0" fillId="4" borderId="0" xfId="0" applyFill="1"/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3" fillId="5" borderId="0" xfId="0" applyFont="1" applyFill="1"/>
    <xf numFmtId="0" fontId="0" fillId="5" borderId="0" xfId="0" applyFill="1"/>
    <xf numFmtId="0" fontId="0" fillId="5" borderId="0" xfId="0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left" vertical="center"/>
    </xf>
    <xf numFmtId="0" fontId="0" fillId="6" borderId="0" xfId="0" applyFill="1"/>
    <xf numFmtId="0" fontId="3" fillId="6" borderId="0" xfId="0" applyFont="1" applyFill="1" applyAlignment="1">
      <alignment horizontal="center" vertical="center"/>
    </xf>
    <xf numFmtId="0" fontId="3" fillId="6" borderId="0" xfId="0" applyFont="1" applyFill="1"/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3" fillId="3" borderId="0" xfId="0" applyFont="1" applyFill="1"/>
    <xf numFmtId="0" fontId="0" fillId="3" borderId="0" xfId="0" applyFill="1"/>
    <xf numFmtId="0" fontId="3" fillId="3" borderId="0" xfId="0" applyFont="1" applyFill="1" applyAlignment="1">
      <alignment horizontal="left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0" fillId="0" borderId="0" xfId="0" applyBorder="1"/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vertical="center"/>
    </xf>
    <xf numFmtId="0" fontId="3" fillId="6" borderId="0" xfId="0" applyFont="1" applyFill="1" applyAlignment="1">
      <alignment vertical="center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5" fillId="0" borderId="11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6" fillId="0" borderId="0" xfId="0" applyFont="1"/>
    <xf numFmtId="0" fontId="3" fillId="4" borderId="0" xfId="0" applyFont="1" applyFill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" fontId="18" fillId="0" borderId="15" xfId="0" applyNumberFormat="1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0" fillId="7" borderId="0" xfId="0" applyFill="1"/>
    <xf numFmtId="0" fontId="4" fillId="7" borderId="0" xfId="0" applyFont="1" applyFill="1"/>
    <xf numFmtId="0" fontId="18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20" fillId="0" borderId="0" xfId="0" applyFont="1"/>
    <xf numFmtId="0" fontId="9" fillId="0" borderId="14" xfId="0" applyFont="1" applyBorder="1" applyAlignment="1">
      <alignment horizontal="center" vertical="center" wrapText="1"/>
    </xf>
    <xf numFmtId="1" fontId="18" fillId="0" borderId="12" xfId="0" applyNumberFormat="1" applyFont="1" applyBorder="1" applyAlignment="1">
      <alignment horizontal="center" vertical="center" wrapText="1"/>
    </xf>
    <xf numFmtId="1" fontId="18" fillId="0" borderId="15" xfId="0" applyNumberFormat="1" applyFont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3" fillId="10" borderId="0" xfId="0" applyFont="1" applyFill="1"/>
    <xf numFmtId="0" fontId="5" fillId="0" borderId="1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6" fillId="0" borderId="18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left" vertical="center" wrapText="1"/>
    </xf>
    <xf numFmtId="0" fontId="5" fillId="0" borderId="34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1" fontId="8" fillId="0" borderId="34" xfId="0" applyNumberFormat="1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0" fillId="9" borderId="0" xfId="0" applyFill="1"/>
    <xf numFmtId="0" fontId="15" fillId="0" borderId="35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0" fillId="11" borderId="0" xfId="0" applyFill="1"/>
    <xf numFmtId="0" fontId="5" fillId="0" borderId="12" xfId="0" applyFont="1" applyBorder="1" applyAlignment="1">
      <alignment horizontal="left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/>
    </xf>
    <xf numFmtId="0" fontId="5" fillId="0" borderId="17" xfId="0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0" fillId="12" borderId="0" xfId="0" applyFill="1"/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3" fillId="6" borderId="0" xfId="0" applyFont="1" applyFill="1" applyAlignment="1">
      <alignment horizontal="right" vertical="center"/>
    </xf>
    <xf numFmtId="0" fontId="6" fillId="0" borderId="23" xfId="0" applyFont="1" applyFill="1" applyBorder="1" applyAlignment="1">
      <alignment horizontal="center" vertical="center"/>
    </xf>
    <xf numFmtId="0" fontId="0" fillId="4" borderId="0" xfId="0" applyNumberFormat="1" applyFill="1"/>
    <xf numFmtId="0" fontId="3" fillId="13" borderId="0" xfId="0" applyFont="1" applyFill="1" applyAlignment="1">
      <alignment horizontal="right" vertical="center"/>
    </xf>
    <xf numFmtId="0" fontId="3" fillId="8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3" fillId="5" borderId="0" xfId="0" applyFont="1" applyFill="1" applyAlignment="1">
      <alignment horizontal="right" vertical="center"/>
    </xf>
    <xf numFmtId="0" fontId="3" fillId="14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right" vertical="center"/>
    </xf>
    <xf numFmtId="0" fontId="3" fillId="11" borderId="0" xfId="0" applyFont="1" applyFill="1" applyAlignment="1">
      <alignment horizontal="right" vertical="center"/>
    </xf>
    <xf numFmtId="0" fontId="3" fillId="12" borderId="0" xfId="0" applyFont="1" applyFill="1" applyAlignment="1">
      <alignment horizontal="right"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3" fillId="15" borderId="0" xfId="0" applyFont="1" applyFill="1" applyAlignment="1">
      <alignment horizontal="left" vertical="center"/>
    </xf>
    <xf numFmtId="0" fontId="0" fillId="15" borderId="0" xfId="0" applyFill="1" applyAlignment="1">
      <alignment horizontal="center" vertical="center"/>
    </xf>
    <xf numFmtId="0" fontId="0" fillId="15" borderId="0" xfId="0" applyFill="1"/>
    <xf numFmtId="0" fontId="0" fillId="15" borderId="0" xfId="0" applyFill="1" applyAlignment="1">
      <alignment horizontal="center"/>
    </xf>
    <xf numFmtId="0" fontId="3" fillId="15" borderId="0" xfId="0" applyFont="1" applyFill="1" applyAlignment="1">
      <alignment vertical="center"/>
    </xf>
    <xf numFmtId="0" fontId="11" fillId="15" borderId="0" xfId="0" applyFont="1" applyFill="1" applyAlignment="1">
      <alignment horizontal="left"/>
    </xf>
    <xf numFmtId="0" fontId="3" fillId="15" borderId="0" xfId="0" applyFont="1" applyFill="1"/>
    <xf numFmtId="0" fontId="3" fillId="15" borderId="0" xfId="0" applyFont="1" applyFill="1" applyAlignment="1">
      <alignment horizontal="center" vertical="center"/>
    </xf>
    <xf numFmtId="0" fontId="3" fillId="15" borderId="0" xfId="0" applyFont="1" applyFill="1" applyAlignment="1">
      <alignment horizontal="right" vertical="center"/>
    </xf>
    <xf numFmtId="0" fontId="0" fillId="15" borderId="0" xfId="0" applyFill="1" applyAlignment="1">
      <alignment vertical="center"/>
    </xf>
    <xf numFmtId="0" fontId="0" fillId="15" borderId="0" xfId="0" applyFill="1" applyAlignment="1">
      <alignment horizontal="left"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3" fillId="16" borderId="0" xfId="0" applyFont="1" applyFill="1" applyAlignment="1">
      <alignment horizontal="left" vertical="center"/>
    </xf>
    <xf numFmtId="0" fontId="0" fillId="16" borderId="0" xfId="0" applyFill="1" applyAlignment="1">
      <alignment horizontal="center" vertical="center"/>
    </xf>
    <xf numFmtId="0" fontId="0" fillId="16" borderId="0" xfId="0" applyFill="1" applyAlignment="1">
      <alignment horizontal="center"/>
    </xf>
    <xf numFmtId="0" fontId="3" fillId="16" borderId="0" xfId="0" applyFont="1" applyFill="1" applyAlignment="1">
      <alignment horizontal="left"/>
    </xf>
    <xf numFmtId="0" fontId="3" fillId="16" borderId="0" xfId="0" applyFont="1" applyFill="1"/>
    <xf numFmtId="0" fontId="3" fillId="16" borderId="0" xfId="0" applyFont="1" applyFill="1" applyAlignment="1">
      <alignment horizontal="right" vertical="center"/>
    </xf>
    <xf numFmtId="0" fontId="0" fillId="16" borderId="0" xfId="0" applyFill="1"/>
    <xf numFmtId="0" fontId="0" fillId="16" borderId="0" xfId="0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0" fillId="17" borderId="0" xfId="0" applyFill="1" applyAlignment="1">
      <alignment horizontal="center" vertical="center"/>
    </xf>
    <xf numFmtId="0" fontId="3" fillId="17" borderId="0" xfId="0" applyFont="1" applyFill="1" applyAlignment="1">
      <alignment horizontal="right" vertical="center"/>
    </xf>
    <xf numFmtId="0" fontId="0" fillId="17" borderId="0" xfId="0" applyFill="1" applyAlignment="1">
      <alignment horizontal="left" vertical="center"/>
    </xf>
    <xf numFmtId="0" fontId="6" fillId="0" borderId="1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29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vertical="center" wrapText="1"/>
    </xf>
    <xf numFmtId="0" fontId="5" fillId="0" borderId="30" xfId="0" applyFont="1" applyFill="1" applyBorder="1" applyAlignment="1">
      <alignment vertical="center" wrapText="1"/>
    </xf>
    <xf numFmtId="0" fontId="3" fillId="16" borderId="0" xfId="0" applyFont="1" applyFill="1" applyAlignment="1">
      <alignment vertical="center"/>
    </xf>
    <xf numFmtId="0" fontId="6" fillId="0" borderId="19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 wrapText="1"/>
    </xf>
    <xf numFmtId="0" fontId="3" fillId="10" borderId="0" xfId="0" applyFont="1" applyFill="1" applyAlignment="1">
      <alignment horizontal="center"/>
    </xf>
    <xf numFmtId="0" fontId="5" fillId="0" borderId="12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6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17" borderId="0" xfId="0" applyFill="1" applyAlignment="1">
      <alignment vertical="center"/>
    </xf>
    <xf numFmtId="0" fontId="3" fillId="10" borderId="0" xfId="0" applyFont="1" applyFill="1" applyAlignment="1"/>
    <xf numFmtId="0" fontId="0" fillId="9" borderId="0" xfId="0" applyFill="1" applyAlignment="1"/>
    <xf numFmtId="0" fontId="0" fillId="11" borderId="0" xfId="0" applyFill="1" applyAlignment="1"/>
    <xf numFmtId="0" fontId="0" fillId="12" borderId="0" xfId="0" applyFill="1" applyAlignment="1"/>
    <xf numFmtId="0" fontId="3" fillId="10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0" fontId="0" fillId="11" borderId="0" xfId="0" applyFill="1" applyAlignment="1">
      <alignment vertical="center"/>
    </xf>
    <xf numFmtId="0" fontId="0" fillId="12" borderId="0" xfId="0" applyFill="1" applyAlignment="1">
      <alignment vertical="center"/>
    </xf>
    <xf numFmtId="0" fontId="3" fillId="16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1" fillId="4" borderId="0" xfId="0" applyFont="1" applyFill="1" applyAlignment="1"/>
    <xf numFmtId="0" fontId="3" fillId="4" borderId="0" xfId="0" applyFont="1" applyFill="1" applyAlignment="1"/>
    <xf numFmtId="0" fontId="0" fillId="4" borderId="0" xfId="0" applyFill="1" applyAlignment="1"/>
    <xf numFmtId="0" fontId="11" fillId="15" borderId="0" xfId="0" applyFont="1" applyFill="1" applyAlignment="1">
      <alignment vertical="center"/>
    </xf>
    <xf numFmtId="0" fontId="11" fillId="15" borderId="0" xfId="0" applyFont="1" applyFill="1" applyAlignment="1"/>
    <xf numFmtId="0" fontId="3" fillId="15" borderId="0" xfId="0" applyFont="1" applyFill="1" applyAlignment="1"/>
    <xf numFmtId="0" fontId="0" fillId="15" borderId="0" xfId="0" applyFill="1" applyAlignment="1"/>
    <xf numFmtId="0" fontId="0" fillId="3" borderId="0" xfId="0" applyFill="1" applyAlignment="1"/>
    <xf numFmtId="0" fontId="3" fillId="3" borderId="0" xfId="0" applyFont="1" applyFill="1" applyAlignment="1"/>
    <xf numFmtId="0" fontId="0" fillId="16" borderId="0" xfId="0" applyFill="1" applyAlignment="1"/>
    <xf numFmtId="0" fontId="3" fillId="16" borderId="0" xfId="0" applyFont="1" applyFill="1" applyAlignment="1"/>
    <xf numFmtId="3" fontId="0" fillId="6" borderId="0" xfId="0" applyNumberFormat="1" applyFill="1" applyAlignment="1">
      <alignment vertical="center"/>
    </xf>
    <xf numFmtId="0" fontId="0" fillId="5" borderId="0" xfId="0" applyFill="1" applyAlignment="1"/>
    <xf numFmtId="0" fontId="3" fillId="5" borderId="0" xfId="0" applyFont="1" applyFill="1" applyAlignment="1"/>
    <xf numFmtId="0" fontId="3" fillId="17" borderId="0" xfId="0" applyFont="1" applyFill="1" applyAlignment="1">
      <alignment vertical="center"/>
    </xf>
    <xf numFmtId="0" fontId="15" fillId="17" borderId="0" xfId="0" applyFont="1" applyFill="1" applyAlignment="1">
      <alignment vertical="center"/>
    </xf>
    <xf numFmtId="0" fontId="0" fillId="0" borderId="0" xfId="0" applyFill="1" applyAlignment="1"/>
    <xf numFmtId="0" fontId="0" fillId="0" borderId="0" xfId="0" applyAlignment="1"/>
    <xf numFmtId="0" fontId="5" fillId="0" borderId="10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0" fillId="18" borderId="0" xfId="0" applyFill="1" applyAlignment="1">
      <alignment horizontal="left" vertical="center"/>
    </xf>
    <xf numFmtId="0" fontId="3" fillId="18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left" vertical="center"/>
    </xf>
    <xf numFmtId="0" fontId="3" fillId="13" borderId="0" xfId="0" applyFont="1" applyFill="1" applyAlignment="1">
      <alignment vertical="center"/>
    </xf>
    <xf numFmtId="0" fontId="3" fillId="19" borderId="0" xfId="0" applyFont="1" applyFill="1" applyAlignment="1">
      <alignment horizontal="right" vertical="center"/>
    </xf>
    <xf numFmtId="0" fontId="24" fillId="4" borderId="32" xfId="0" applyFont="1" applyFill="1" applyBorder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25" fillId="15" borderId="8" xfId="0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23" fillId="7" borderId="32" xfId="0" applyFont="1" applyFill="1" applyBorder="1" applyAlignment="1">
      <alignment horizontal="center" vertical="center" wrapText="1"/>
    </xf>
    <xf numFmtId="0" fontId="23" fillId="7" borderId="33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24" fillId="7" borderId="32" xfId="0" applyFont="1" applyFill="1" applyBorder="1" applyAlignment="1">
      <alignment horizontal="center" vertical="center" wrapText="1"/>
    </xf>
    <xf numFmtId="0" fontId="24" fillId="7" borderId="33" xfId="0" applyFont="1" applyFill="1" applyBorder="1" applyAlignment="1">
      <alignment horizontal="center" vertical="center" wrapText="1"/>
    </xf>
    <xf numFmtId="0" fontId="22" fillId="7" borderId="32" xfId="0" applyFont="1" applyFill="1" applyBorder="1" applyAlignment="1">
      <alignment horizontal="center" vertical="center" wrapText="1"/>
    </xf>
    <xf numFmtId="0" fontId="22" fillId="7" borderId="33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21" fillId="7" borderId="10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15" xfId="0" applyFont="1" applyFill="1" applyBorder="1" applyAlignment="1">
      <alignment horizontal="center" vertical="center" wrapText="1"/>
    </xf>
    <xf numFmtId="3" fontId="20" fillId="17" borderId="12" xfId="0" applyNumberFormat="1" applyFont="1" applyFill="1" applyBorder="1" applyAlignment="1">
      <alignment horizontal="center" vertical="center" wrapText="1"/>
    </xf>
    <xf numFmtId="3" fontId="20" fillId="17" borderId="10" xfId="0" applyNumberFormat="1" applyFont="1" applyFill="1" applyBorder="1" applyAlignment="1">
      <alignment horizontal="center" vertical="center" wrapText="1"/>
    </xf>
    <xf numFmtId="3" fontId="20" fillId="17" borderId="15" xfId="0" applyNumberFormat="1" applyFont="1" applyFill="1" applyBorder="1" applyAlignment="1">
      <alignment horizontal="center" vertical="center" wrapText="1"/>
    </xf>
    <xf numFmtId="3" fontId="20" fillId="17" borderId="34" xfId="0" applyNumberFormat="1" applyFont="1" applyFill="1" applyBorder="1" applyAlignment="1">
      <alignment horizontal="center" vertical="center" wrapText="1"/>
    </xf>
    <xf numFmtId="0" fontId="20" fillId="17" borderId="12" xfId="0" applyFont="1" applyFill="1" applyBorder="1" applyAlignment="1">
      <alignment horizontal="center" vertical="center" wrapText="1"/>
    </xf>
  </cellXfs>
  <cellStyles count="6">
    <cellStyle name="Денежный 2" xfId="4"/>
    <cellStyle name="Обычный" xfId="0" builtinId="0"/>
    <cellStyle name="Обычный 2" xfId="1"/>
    <cellStyle name="Обычный 3" xfId="2"/>
    <cellStyle name="Обычный 3 2" xfId="3"/>
    <cellStyle name="Финансовый 2" xfId="5"/>
  </cellStyles>
  <dxfs count="0"/>
  <tableStyles count="0" defaultTableStyle="TableStyleMedium2" defaultPivotStyle="PivotStyleLight16"/>
  <colors>
    <mruColors>
      <color rgb="FFFF6757"/>
      <color rgb="FFFF3300"/>
      <color rgb="FFD01602"/>
      <color rgb="FFFF0066"/>
      <color rgb="FFE5C5FF"/>
      <color rgb="FF9966FF"/>
      <color rgb="FF9933FF"/>
      <color rgb="FFFFFFCC"/>
      <color rgb="FFDDEDFF"/>
      <color rgb="FFB4E2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17.jpeg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2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8.jpeg"/><Relationship Id="rId10" Type="http://schemas.openxmlformats.org/officeDocument/2006/relationships/image" Target="../media/image20.jpeg"/><Relationship Id="rId4" Type="http://schemas.openxmlformats.org/officeDocument/2006/relationships/image" Target="../media/image10.jpeg"/><Relationship Id="rId9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g"/><Relationship Id="rId7" Type="http://schemas.openxmlformats.org/officeDocument/2006/relationships/image" Target="../media/image27.jpg"/><Relationship Id="rId2" Type="http://schemas.openxmlformats.org/officeDocument/2006/relationships/image" Target="../media/image22.jpg"/><Relationship Id="rId1" Type="http://schemas.openxmlformats.org/officeDocument/2006/relationships/image" Target="../media/image21.jpeg"/><Relationship Id="rId6" Type="http://schemas.openxmlformats.org/officeDocument/2006/relationships/image" Target="../media/image26.jpg"/><Relationship Id="rId11" Type="http://schemas.openxmlformats.org/officeDocument/2006/relationships/image" Target="../media/image31.jpg"/><Relationship Id="rId5" Type="http://schemas.openxmlformats.org/officeDocument/2006/relationships/image" Target="../media/image25.jpg"/><Relationship Id="rId10" Type="http://schemas.openxmlformats.org/officeDocument/2006/relationships/image" Target="../media/image30.jpg"/><Relationship Id="rId4" Type="http://schemas.openxmlformats.org/officeDocument/2006/relationships/image" Target="../media/image24.jpg"/><Relationship Id="rId9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3" Type="http://schemas.openxmlformats.org/officeDocument/2006/relationships/image" Target="../media/image45.jpg"/><Relationship Id="rId7" Type="http://schemas.openxmlformats.org/officeDocument/2006/relationships/image" Target="../media/image21.jpeg"/><Relationship Id="rId2" Type="http://schemas.openxmlformats.org/officeDocument/2006/relationships/image" Target="../media/image44.jpg"/><Relationship Id="rId1" Type="http://schemas.openxmlformats.org/officeDocument/2006/relationships/image" Target="../media/image43.jpg"/><Relationship Id="rId6" Type="http://schemas.openxmlformats.org/officeDocument/2006/relationships/image" Target="../media/image48.jpg"/><Relationship Id="rId5" Type="http://schemas.openxmlformats.org/officeDocument/2006/relationships/image" Target="../media/image47.jpg"/><Relationship Id="rId4" Type="http://schemas.openxmlformats.org/officeDocument/2006/relationships/image" Target="../media/image46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g"/><Relationship Id="rId3" Type="http://schemas.openxmlformats.org/officeDocument/2006/relationships/image" Target="../media/image51.jpg"/><Relationship Id="rId7" Type="http://schemas.openxmlformats.org/officeDocument/2006/relationships/image" Target="../media/image55.jpg"/><Relationship Id="rId2" Type="http://schemas.openxmlformats.org/officeDocument/2006/relationships/image" Target="../media/image50.jpg"/><Relationship Id="rId1" Type="http://schemas.openxmlformats.org/officeDocument/2006/relationships/image" Target="../media/image49.jpg"/><Relationship Id="rId6" Type="http://schemas.openxmlformats.org/officeDocument/2006/relationships/image" Target="../media/image54.jpg"/><Relationship Id="rId5" Type="http://schemas.openxmlformats.org/officeDocument/2006/relationships/image" Target="../media/image53.jpg"/><Relationship Id="rId4" Type="http://schemas.openxmlformats.org/officeDocument/2006/relationships/image" Target="../media/image52.jpg"/><Relationship Id="rId9" Type="http://schemas.openxmlformats.org/officeDocument/2006/relationships/image" Target="../media/image57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g"/><Relationship Id="rId2" Type="http://schemas.openxmlformats.org/officeDocument/2006/relationships/image" Target="../media/image59.jpg"/><Relationship Id="rId1" Type="http://schemas.openxmlformats.org/officeDocument/2006/relationships/image" Target="../media/image58.jpg"/><Relationship Id="rId4" Type="http://schemas.openxmlformats.org/officeDocument/2006/relationships/image" Target="../media/image6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88</xdr:row>
      <xdr:rowOff>0</xdr:rowOff>
    </xdr:from>
    <xdr:to>
      <xdr:col>0</xdr:col>
      <xdr:colOff>533400</xdr:colOff>
      <xdr:row>88</xdr:row>
      <xdr:rowOff>0</xdr:rowOff>
    </xdr:to>
    <xdr:sp macro="" textlink="">
      <xdr:nvSpPr>
        <xdr:cNvPr id="2" name="Picture 2" descr="Cветильник для ЖКХ"/>
        <xdr:cNvSpPr>
          <a:spLocks noChangeAspect="1" noChangeArrowheads="1"/>
        </xdr:cNvSpPr>
      </xdr:nvSpPr>
      <xdr:spPr bwMode="auto">
        <a:xfrm>
          <a:off x="161925" y="66722625"/>
          <a:ext cx="371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88</xdr:row>
      <xdr:rowOff>0</xdr:rowOff>
    </xdr:from>
    <xdr:to>
      <xdr:col>0</xdr:col>
      <xdr:colOff>2381250</xdr:colOff>
      <xdr:row>88</xdr:row>
      <xdr:rowOff>0</xdr:rowOff>
    </xdr:to>
    <xdr:sp macro="" textlink="">
      <xdr:nvSpPr>
        <xdr:cNvPr id="3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5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19050</xdr:colOff>
      <xdr:row>88</xdr:row>
      <xdr:rowOff>19050</xdr:rowOff>
    </xdr:to>
    <xdr:sp macro="" textlink="">
      <xdr:nvSpPr>
        <xdr:cNvPr id="6" name="Picture 10"/>
        <xdr:cNvSpPr>
          <a:spLocks noChangeAspect="1" noChangeArrowheads="1"/>
        </xdr:cNvSpPr>
      </xdr:nvSpPr>
      <xdr:spPr bwMode="auto">
        <a:xfrm>
          <a:off x="0" y="667226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19050</xdr:colOff>
      <xdr:row>88</xdr:row>
      <xdr:rowOff>19050</xdr:rowOff>
    </xdr:to>
    <xdr:sp macro="" textlink="">
      <xdr:nvSpPr>
        <xdr:cNvPr id="7" name="Picture 11"/>
        <xdr:cNvSpPr>
          <a:spLocks noChangeAspect="1" noChangeArrowheads="1"/>
        </xdr:cNvSpPr>
      </xdr:nvSpPr>
      <xdr:spPr bwMode="auto">
        <a:xfrm>
          <a:off x="0" y="667226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88</xdr:row>
      <xdr:rowOff>0</xdr:rowOff>
    </xdr:from>
    <xdr:to>
      <xdr:col>0</xdr:col>
      <xdr:colOff>2381250</xdr:colOff>
      <xdr:row>88</xdr:row>
      <xdr:rowOff>0</xdr:rowOff>
    </xdr:to>
    <xdr:sp macro="" textlink="">
      <xdr:nvSpPr>
        <xdr:cNvPr id="8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9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88</xdr:row>
      <xdr:rowOff>0</xdr:rowOff>
    </xdr:from>
    <xdr:to>
      <xdr:col>0</xdr:col>
      <xdr:colOff>2381250</xdr:colOff>
      <xdr:row>88</xdr:row>
      <xdr:rowOff>0</xdr:rowOff>
    </xdr:to>
    <xdr:sp macro="" textlink="">
      <xdr:nvSpPr>
        <xdr:cNvPr id="10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88</xdr:row>
      <xdr:rowOff>0</xdr:rowOff>
    </xdr:from>
    <xdr:to>
      <xdr:col>0</xdr:col>
      <xdr:colOff>2381250</xdr:colOff>
      <xdr:row>88</xdr:row>
      <xdr:rowOff>0</xdr:rowOff>
    </xdr:to>
    <xdr:sp macro="" textlink="">
      <xdr:nvSpPr>
        <xdr:cNvPr id="11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143741</xdr:colOff>
      <xdr:row>88</xdr:row>
      <xdr:rowOff>0</xdr:rowOff>
    </xdr:from>
    <xdr:ext cx="2324100" cy="0"/>
    <xdr:sp macro="" textlink="">
      <xdr:nvSpPr>
        <xdr:cNvPr id="12" name="Picture 3" descr="Шеврон 1"/>
        <xdr:cNvSpPr>
          <a:spLocks noChangeAspect="1" noChangeArrowheads="1"/>
        </xdr:cNvSpPr>
      </xdr:nvSpPr>
      <xdr:spPr bwMode="auto">
        <a:xfrm>
          <a:off x="143741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13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14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15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16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9</xdr:row>
      <xdr:rowOff>133350</xdr:rowOff>
    </xdr:from>
    <xdr:to>
      <xdr:col>0</xdr:col>
      <xdr:colOff>2381250</xdr:colOff>
      <xdr:row>9</xdr:row>
      <xdr:rowOff>133350</xdr:rowOff>
    </xdr:to>
    <xdr:sp macro="" textlink="">
      <xdr:nvSpPr>
        <xdr:cNvPr id="17" name="Picture 1" descr="Шеврон 1"/>
        <xdr:cNvSpPr>
          <a:spLocks noChangeAspect="1" noChangeArrowheads="1"/>
        </xdr:cNvSpPr>
      </xdr:nvSpPr>
      <xdr:spPr bwMode="auto">
        <a:xfrm>
          <a:off x="57150" y="62388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16</xdr:row>
      <xdr:rowOff>0</xdr:rowOff>
    </xdr:from>
    <xdr:ext cx="2324100" cy="0"/>
    <xdr:sp macro="" textlink="">
      <xdr:nvSpPr>
        <xdr:cNvPr id="18" name="Picture 1" descr="Шеврон 1"/>
        <xdr:cNvSpPr>
          <a:spLocks noChangeAspect="1" noChangeArrowheads="1"/>
        </xdr:cNvSpPr>
      </xdr:nvSpPr>
      <xdr:spPr bwMode="auto">
        <a:xfrm>
          <a:off x="57150" y="115538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21</xdr:row>
      <xdr:rowOff>133350</xdr:rowOff>
    </xdr:from>
    <xdr:ext cx="2324100" cy="0"/>
    <xdr:sp macro="" textlink="">
      <xdr:nvSpPr>
        <xdr:cNvPr id="19" name="Picture 1" descr="Шеврон 1"/>
        <xdr:cNvSpPr>
          <a:spLocks noChangeAspect="1" noChangeArrowheads="1"/>
        </xdr:cNvSpPr>
      </xdr:nvSpPr>
      <xdr:spPr bwMode="auto">
        <a:xfrm>
          <a:off x="57150" y="168687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28</xdr:row>
      <xdr:rowOff>0</xdr:rowOff>
    </xdr:from>
    <xdr:ext cx="2324100" cy="0"/>
    <xdr:sp macro="" textlink="">
      <xdr:nvSpPr>
        <xdr:cNvPr id="20" name="Picture 1" descr="Шеврон 1"/>
        <xdr:cNvSpPr>
          <a:spLocks noChangeAspect="1" noChangeArrowheads="1"/>
        </xdr:cNvSpPr>
      </xdr:nvSpPr>
      <xdr:spPr bwMode="auto">
        <a:xfrm>
          <a:off x="57150" y="221837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33</xdr:row>
      <xdr:rowOff>133350</xdr:rowOff>
    </xdr:from>
    <xdr:ext cx="2324100" cy="0"/>
    <xdr:sp macro="" textlink="">
      <xdr:nvSpPr>
        <xdr:cNvPr id="21" name="Picture 1" descr="Шеврон 1"/>
        <xdr:cNvSpPr>
          <a:spLocks noChangeAspect="1" noChangeArrowheads="1"/>
        </xdr:cNvSpPr>
      </xdr:nvSpPr>
      <xdr:spPr bwMode="auto">
        <a:xfrm>
          <a:off x="57150" y="274986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22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23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88</xdr:row>
      <xdr:rowOff>0</xdr:rowOff>
    </xdr:from>
    <xdr:ext cx="2324100" cy="0"/>
    <xdr:sp macro="" textlink="">
      <xdr:nvSpPr>
        <xdr:cNvPr id="24" name="Picture 3" descr="Шеврон 1"/>
        <xdr:cNvSpPr>
          <a:spLocks noChangeAspect="1" noChangeArrowheads="1"/>
        </xdr:cNvSpPr>
      </xdr:nvSpPr>
      <xdr:spPr bwMode="auto">
        <a:xfrm>
          <a:off x="57150" y="66722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25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26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27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28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29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30" name="Picture 3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64</xdr:row>
      <xdr:rowOff>0</xdr:rowOff>
    </xdr:from>
    <xdr:ext cx="2324100" cy="0"/>
    <xdr:sp macro="" textlink="">
      <xdr:nvSpPr>
        <xdr:cNvPr id="31" name="Picture 1" descr="Шеврон 1"/>
        <xdr:cNvSpPr>
          <a:spLocks noChangeAspect="1" noChangeArrowheads="1"/>
        </xdr:cNvSpPr>
      </xdr:nvSpPr>
      <xdr:spPr bwMode="auto">
        <a:xfrm>
          <a:off x="57150" y="540734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52</xdr:row>
      <xdr:rowOff>0</xdr:rowOff>
    </xdr:from>
    <xdr:ext cx="2324100" cy="0"/>
    <xdr:sp macro="" textlink="">
      <xdr:nvSpPr>
        <xdr:cNvPr id="32" name="Picture 1" descr="Шеврон 1"/>
        <xdr:cNvSpPr>
          <a:spLocks noChangeAspect="1" noChangeArrowheads="1"/>
        </xdr:cNvSpPr>
      </xdr:nvSpPr>
      <xdr:spPr bwMode="auto">
        <a:xfrm>
          <a:off x="57150" y="434435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52</xdr:row>
      <xdr:rowOff>0</xdr:rowOff>
    </xdr:from>
    <xdr:ext cx="2324100" cy="0"/>
    <xdr:sp macro="" textlink="">
      <xdr:nvSpPr>
        <xdr:cNvPr id="33" name="Picture 1" descr="Шеврон 1"/>
        <xdr:cNvSpPr>
          <a:spLocks noChangeAspect="1" noChangeArrowheads="1"/>
        </xdr:cNvSpPr>
      </xdr:nvSpPr>
      <xdr:spPr bwMode="auto">
        <a:xfrm>
          <a:off x="57150" y="388810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45</xdr:row>
      <xdr:rowOff>133350</xdr:rowOff>
    </xdr:from>
    <xdr:ext cx="2324100" cy="0"/>
    <xdr:sp macro="" textlink="">
      <xdr:nvSpPr>
        <xdr:cNvPr id="34" name="Picture 1" descr="Шеврон 1"/>
        <xdr:cNvSpPr>
          <a:spLocks noChangeAspect="1" noChangeArrowheads="1"/>
        </xdr:cNvSpPr>
      </xdr:nvSpPr>
      <xdr:spPr bwMode="auto">
        <a:xfrm>
          <a:off x="57150" y="381285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40</xdr:row>
      <xdr:rowOff>0</xdr:rowOff>
    </xdr:from>
    <xdr:ext cx="2324100" cy="0"/>
    <xdr:sp macro="" textlink="">
      <xdr:nvSpPr>
        <xdr:cNvPr id="35" name="Picture 1" descr="Шеврон 1"/>
        <xdr:cNvSpPr>
          <a:spLocks noChangeAspect="1" noChangeArrowheads="1"/>
        </xdr:cNvSpPr>
      </xdr:nvSpPr>
      <xdr:spPr bwMode="auto">
        <a:xfrm>
          <a:off x="57150" y="328136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57</xdr:row>
      <xdr:rowOff>133350</xdr:rowOff>
    </xdr:from>
    <xdr:ext cx="2324100" cy="0"/>
    <xdr:sp macro="" textlink="">
      <xdr:nvSpPr>
        <xdr:cNvPr id="36" name="Picture 1" descr="Шеврон 1"/>
        <xdr:cNvSpPr>
          <a:spLocks noChangeAspect="1" noChangeArrowheads="1"/>
        </xdr:cNvSpPr>
      </xdr:nvSpPr>
      <xdr:spPr bwMode="auto">
        <a:xfrm>
          <a:off x="57150" y="487584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70</xdr:row>
      <xdr:rowOff>133350</xdr:rowOff>
    </xdr:from>
    <xdr:ext cx="2324100" cy="0"/>
    <xdr:sp macro="" textlink="">
      <xdr:nvSpPr>
        <xdr:cNvPr id="37" name="Picture 1" descr="Шеврон 1"/>
        <xdr:cNvSpPr>
          <a:spLocks noChangeAspect="1" noChangeArrowheads="1"/>
        </xdr:cNvSpPr>
      </xdr:nvSpPr>
      <xdr:spPr bwMode="auto">
        <a:xfrm>
          <a:off x="57150" y="598932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38" name="Picture 1" descr="Шеврон 1"/>
        <xdr:cNvSpPr>
          <a:spLocks noChangeAspect="1" noChangeArrowheads="1"/>
        </xdr:cNvSpPr>
      </xdr:nvSpPr>
      <xdr:spPr bwMode="auto">
        <a:xfrm>
          <a:off x="57150" y="641889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40256</xdr:colOff>
      <xdr:row>16</xdr:row>
      <xdr:rowOff>134372</xdr:rowOff>
    </xdr:from>
    <xdr:to>
      <xdr:col>0</xdr:col>
      <xdr:colOff>4354286</xdr:colOff>
      <xdr:row>21</xdr:row>
      <xdr:rowOff>796444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6" y="12440672"/>
          <a:ext cx="4314030" cy="5091198"/>
        </a:xfrm>
        <a:prstGeom prst="rect">
          <a:avLst/>
        </a:prstGeom>
      </xdr:spPr>
    </xdr:pic>
    <xdr:clientData/>
  </xdr:twoCellAnchor>
  <xdr:twoCellAnchor editAs="oneCell">
    <xdr:from>
      <xdr:col>0</xdr:col>
      <xdr:colOff>38555</xdr:colOff>
      <xdr:row>28</xdr:row>
      <xdr:rowOff>105454</xdr:rowOff>
    </xdr:from>
    <xdr:to>
      <xdr:col>0</xdr:col>
      <xdr:colOff>4354287</xdr:colOff>
      <xdr:row>33</xdr:row>
      <xdr:rowOff>769532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5" y="23041654"/>
          <a:ext cx="4315732" cy="5093202"/>
        </a:xfrm>
        <a:prstGeom prst="rect">
          <a:avLst/>
        </a:prstGeom>
      </xdr:spPr>
    </xdr:pic>
    <xdr:clientData/>
  </xdr:twoCellAnchor>
  <xdr:twoCellAnchor editAs="oneCell">
    <xdr:from>
      <xdr:col>0</xdr:col>
      <xdr:colOff>45770</xdr:colOff>
      <xdr:row>40</xdr:row>
      <xdr:rowOff>125298</xdr:rowOff>
    </xdr:from>
    <xdr:to>
      <xdr:col>0</xdr:col>
      <xdr:colOff>4347071</xdr:colOff>
      <xdr:row>45</xdr:row>
      <xdr:rowOff>749686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70" y="33691398"/>
          <a:ext cx="4301301" cy="5053515"/>
        </a:xfrm>
        <a:prstGeom prst="rect">
          <a:avLst/>
        </a:prstGeom>
      </xdr:spPr>
    </xdr:pic>
    <xdr:clientData/>
  </xdr:twoCellAnchor>
  <xdr:twoCellAnchor editAs="oneCell">
    <xdr:from>
      <xdr:col>0</xdr:col>
      <xdr:colOff>24174</xdr:colOff>
      <xdr:row>52</xdr:row>
      <xdr:rowOff>88449</xdr:rowOff>
    </xdr:from>
    <xdr:to>
      <xdr:col>0</xdr:col>
      <xdr:colOff>4369593</xdr:colOff>
      <xdr:row>57</xdr:row>
      <xdr:rowOff>804524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4" y="44284449"/>
          <a:ext cx="4345419" cy="5145198"/>
        </a:xfrm>
        <a:prstGeom prst="rect">
          <a:avLst/>
        </a:prstGeom>
      </xdr:spPr>
    </xdr:pic>
    <xdr:clientData/>
  </xdr:twoCellAnchor>
  <xdr:twoCellAnchor editAs="oneCell">
    <xdr:from>
      <xdr:col>0</xdr:col>
      <xdr:colOff>28503</xdr:colOff>
      <xdr:row>65</xdr:row>
      <xdr:rowOff>111126</xdr:rowOff>
    </xdr:from>
    <xdr:to>
      <xdr:col>0</xdr:col>
      <xdr:colOff>4365625</xdr:colOff>
      <xdr:row>70</xdr:row>
      <xdr:rowOff>777733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3" y="55441851"/>
          <a:ext cx="4337122" cy="5095735"/>
        </a:xfrm>
        <a:prstGeom prst="rect">
          <a:avLst/>
        </a:prstGeom>
      </xdr:spPr>
    </xdr:pic>
    <xdr:clientData/>
  </xdr:twoCellAnchor>
  <xdr:twoCellAnchor editAs="oneCell">
    <xdr:from>
      <xdr:col>0</xdr:col>
      <xdr:colOff>69427</xdr:colOff>
      <xdr:row>71</xdr:row>
      <xdr:rowOff>953862</xdr:rowOff>
    </xdr:from>
    <xdr:to>
      <xdr:col>0</xdr:col>
      <xdr:colOff>4366503</xdr:colOff>
      <xdr:row>72</xdr:row>
      <xdr:rowOff>873068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7" y="61599537"/>
          <a:ext cx="4297076" cy="169085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</xdr:row>
      <xdr:rowOff>91847</xdr:rowOff>
    </xdr:from>
    <xdr:to>
      <xdr:col>0</xdr:col>
      <xdr:colOff>4356552</xdr:colOff>
      <xdr:row>9</xdr:row>
      <xdr:rowOff>787998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768247"/>
          <a:ext cx="4342945" cy="5125276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27</xdr:row>
      <xdr:rowOff>133350</xdr:rowOff>
    </xdr:from>
    <xdr:ext cx="2324100" cy="0"/>
    <xdr:sp macro="" textlink="">
      <xdr:nvSpPr>
        <xdr:cNvPr id="51" name="Picture 1" descr="Шеврон 1"/>
        <xdr:cNvSpPr>
          <a:spLocks noChangeAspect="1" noChangeArrowheads="1"/>
        </xdr:cNvSpPr>
      </xdr:nvSpPr>
      <xdr:spPr bwMode="auto">
        <a:xfrm>
          <a:off x="57150" y="11528714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15</xdr:row>
      <xdr:rowOff>133350</xdr:rowOff>
    </xdr:from>
    <xdr:ext cx="2324100" cy="0"/>
    <xdr:sp macro="" textlink="">
      <xdr:nvSpPr>
        <xdr:cNvPr id="53" name="Picture 1" descr="Шеврон 1"/>
        <xdr:cNvSpPr>
          <a:spLocks noChangeAspect="1" noChangeArrowheads="1"/>
        </xdr:cNvSpPr>
      </xdr:nvSpPr>
      <xdr:spPr bwMode="auto">
        <a:xfrm>
          <a:off x="57150" y="1682807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39</xdr:row>
      <xdr:rowOff>133350</xdr:rowOff>
    </xdr:from>
    <xdr:ext cx="2324100" cy="0"/>
    <xdr:sp macro="" textlink="">
      <xdr:nvSpPr>
        <xdr:cNvPr id="55" name="Picture 1" descr="Шеврон 1"/>
        <xdr:cNvSpPr>
          <a:spLocks noChangeAspect="1" noChangeArrowheads="1"/>
        </xdr:cNvSpPr>
      </xdr:nvSpPr>
      <xdr:spPr bwMode="auto">
        <a:xfrm>
          <a:off x="57150" y="2742680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51</xdr:row>
      <xdr:rowOff>133350</xdr:rowOff>
    </xdr:from>
    <xdr:ext cx="2324100" cy="0"/>
    <xdr:sp macro="" textlink="">
      <xdr:nvSpPr>
        <xdr:cNvPr id="57" name="Picture 1" descr="Шеврон 1"/>
        <xdr:cNvSpPr>
          <a:spLocks noChangeAspect="1" noChangeArrowheads="1"/>
        </xdr:cNvSpPr>
      </xdr:nvSpPr>
      <xdr:spPr bwMode="auto">
        <a:xfrm>
          <a:off x="57150" y="38025532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63</xdr:row>
      <xdr:rowOff>133350</xdr:rowOff>
    </xdr:from>
    <xdr:ext cx="2324100" cy="0"/>
    <xdr:sp macro="" textlink="">
      <xdr:nvSpPr>
        <xdr:cNvPr id="59" name="Picture 1" descr="Шеврон 1"/>
        <xdr:cNvSpPr>
          <a:spLocks noChangeAspect="1" noChangeArrowheads="1"/>
        </xdr:cNvSpPr>
      </xdr:nvSpPr>
      <xdr:spPr bwMode="auto">
        <a:xfrm>
          <a:off x="57150" y="48624259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10</xdr:row>
      <xdr:rowOff>69272</xdr:rowOff>
    </xdr:from>
    <xdr:to>
      <xdr:col>0</xdr:col>
      <xdr:colOff>4321401</xdr:colOff>
      <xdr:row>15</xdr:row>
      <xdr:rowOff>746217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48499"/>
          <a:ext cx="4321401" cy="5093081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22</xdr:row>
      <xdr:rowOff>69272</xdr:rowOff>
    </xdr:from>
    <xdr:to>
      <xdr:col>0</xdr:col>
      <xdr:colOff>4367686</xdr:colOff>
      <xdr:row>27</xdr:row>
      <xdr:rowOff>733350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17647227"/>
          <a:ext cx="4315731" cy="5080214"/>
        </a:xfrm>
        <a:prstGeom prst="rect">
          <a:avLst/>
        </a:prstGeom>
      </xdr:spPr>
    </xdr:pic>
    <xdr:clientData/>
  </xdr:twoCellAnchor>
  <xdr:twoCellAnchor editAs="oneCell">
    <xdr:from>
      <xdr:col>0</xdr:col>
      <xdr:colOff>17319</xdr:colOff>
      <xdr:row>34</xdr:row>
      <xdr:rowOff>86591</xdr:rowOff>
    </xdr:from>
    <xdr:to>
      <xdr:col>0</xdr:col>
      <xdr:colOff>4326659</xdr:colOff>
      <xdr:row>39</xdr:row>
      <xdr:rowOff>743134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9" y="28263273"/>
          <a:ext cx="4309340" cy="507267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46</xdr:row>
      <xdr:rowOff>96487</xdr:rowOff>
    </xdr:from>
    <xdr:to>
      <xdr:col>0</xdr:col>
      <xdr:colOff>4372352</xdr:colOff>
      <xdr:row>51</xdr:row>
      <xdr:rowOff>796192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38917666"/>
          <a:ext cx="4331530" cy="512202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58</xdr:row>
      <xdr:rowOff>95250</xdr:rowOff>
    </xdr:from>
    <xdr:to>
      <xdr:col>0</xdr:col>
      <xdr:colOff>4362428</xdr:colOff>
      <xdr:row>63</xdr:row>
      <xdr:rowOff>783258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49530000"/>
          <a:ext cx="4321607" cy="511033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78</xdr:row>
      <xdr:rowOff>133350</xdr:rowOff>
    </xdr:from>
    <xdr:ext cx="2324100" cy="0"/>
    <xdr:sp macro="" textlink="">
      <xdr:nvSpPr>
        <xdr:cNvPr id="66" name="Picture 1" descr="Шеврон 1"/>
        <xdr:cNvSpPr>
          <a:spLocks noChangeAspect="1" noChangeArrowheads="1"/>
        </xdr:cNvSpPr>
      </xdr:nvSpPr>
      <xdr:spPr bwMode="auto">
        <a:xfrm>
          <a:off x="57150" y="53990421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40821</xdr:colOff>
      <xdr:row>73</xdr:row>
      <xdr:rowOff>95250</xdr:rowOff>
    </xdr:from>
    <xdr:ext cx="4321607" cy="511033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49530000"/>
          <a:ext cx="4321607" cy="511033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84</xdr:row>
      <xdr:rowOff>0</xdr:rowOff>
    </xdr:from>
    <xdr:ext cx="2324100" cy="0"/>
    <xdr:sp macro="" textlink="">
      <xdr:nvSpPr>
        <xdr:cNvPr id="68" name="Picture 1" descr="Шеврон 1"/>
        <xdr:cNvSpPr>
          <a:spLocks noChangeAspect="1" noChangeArrowheads="1"/>
        </xdr:cNvSpPr>
      </xdr:nvSpPr>
      <xdr:spPr bwMode="auto">
        <a:xfrm>
          <a:off x="57150" y="60304136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87</xdr:row>
      <xdr:rowOff>0</xdr:rowOff>
    </xdr:from>
    <xdr:ext cx="2324100" cy="0"/>
    <xdr:sp macro="" textlink="">
      <xdr:nvSpPr>
        <xdr:cNvPr id="60" name="Picture 1" descr="Шеврон 1"/>
        <xdr:cNvSpPr>
          <a:spLocks noChangeAspect="1" noChangeArrowheads="1"/>
        </xdr:cNvSpPr>
      </xdr:nvSpPr>
      <xdr:spPr bwMode="auto">
        <a:xfrm>
          <a:off x="57150" y="74959029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1102179</xdr:colOff>
      <xdr:row>80</xdr:row>
      <xdr:rowOff>40824</xdr:rowOff>
    </xdr:from>
    <xdr:to>
      <xdr:col>0</xdr:col>
      <xdr:colOff>3306534</xdr:colOff>
      <xdr:row>81</xdr:row>
      <xdr:rowOff>3889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9" y="70444181"/>
          <a:ext cx="2204355" cy="1731994"/>
        </a:xfrm>
        <a:prstGeom prst="rect">
          <a:avLst/>
        </a:prstGeom>
      </xdr:spPr>
    </xdr:pic>
    <xdr:clientData/>
  </xdr:twoCellAnchor>
  <xdr:twoCellAnchor editAs="oneCell">
    <xdr:from>
      <xdr:col>0</xdr:col>
      <xdr:colOff>1006928</xdr:colOff>
      <xdr:row>85</xdr:row>
      <xdr:rowOff>27215</xdr:rowOff>
    </xdr:from>
    <xdr:to>
      <xdr:col>0</xdr:col>
      <xdr:colOff>3211283</xdr:colOff>
      <xdr:row>85</xdr:row>
      <xdr:rowOff>1759209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" y="78009751"/>
          <a:ext cx="2204355" cy="1731994"/>
        </a:xfrm>
        <a:prstGeom prst="rect">
          <a:avLst/>
        </a:prstGeom>
      </xdr:spPr>
    </xdr:pic>
    <xdr:clientData/>
  </xdr:twoCellAnchor>
  <xdr:twoCellAnchor editAs="oneCell">
    <xdr:from>
      <xdr:col>0</xdr:col>
      <xdr:colOff>1061359</xdr:colOff>
      <xdr:row>86</xdr:row>
      <xdr:rowOff>13606</xdr:rowOff>
    </xdr:from>
    <xdr:to>
      <xdr:col>0</xdr:col>
      <xdr:colOff>3265714</xdr:colOff>
      <xdr:row>86</xdr:row>
      <xdr:rowOff>1745599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9" y="79765070"/>
          <a:ext cx="2204355" cy="1731993"/>
        </a:xfrm>
        <a:prstGeom prst="rect">
          <a:avLst/>
        </a:prstGeom>
      </xdr:spPr>
    </xdr:pic>
    <xdr:clientData/>
  </xdr:twoCellAnchor>
  <xdr:twoCellAnchor editAs="oneCell">
    <xdr:from>
      <xdr:col>0</xdr:col>
      <xdr:colOff>1102178</xdr:colOff>
      <xdr:row>81</xdr:row>
      <xdr:rowOff>27214</xdr:rowOff>
    </xdr:from>
    <xdr:to>
      <xdr:col>0</xdr:col>
      <xdr:colOff>3306533</xdr:colOff>
      <xdr:row>81</xdr:row>
      <xdr:rowOff>1759207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72199500"/>
          <a:ext cx="2204355" cy="1731993"/>
        </a:xfrm>
        <a:prstGeom prst="rect">
          <a:avLst/>
        </a:prstGeom>
      </xdr:spPr>
    </xdr:pic>
    <xdr:clientData/>
  </xdr:twoCellAnchor>
  <xdr:oneCellAnchor>
    <xdr:from>
      <xdr:col>0</xdr:col>
      <xdr:colOff>1034144</xdr:colOff>
      <xdr:row>82</xdr:row>
      <xdr:rowOff>27215</xdr:rowOff>
    </xdr:from>
    <xdr:ext cx="2204355" cy="1731994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4" y="73968429"/>
          <a:ext cx="2204355" cy="1731994"/>
        </a:xfrm>
        <a:prstGeom prst="rect">
          <a:avLst/>
        </a:prstGeom>
      </xdr:spPr>
    </xdr:pic>
    <xdr:clientData/>
  </xdr:oneCellAnchor>
  <xdr:twoCellAnchor editAs="oneCell">
    <xdr:from>
      <xdr:col>0</xdr:col>
      <xdr:colOff>1061357</xdr:colOff>
      <xdr:row>83</xdr:row>
      <xdr:rowOff>13607</xdr:rowOff>
    </xdr:from>
    <xdr:to>
      <xdr:col>0</xdr:col>
      <xdr:colOff>3265712</xdr:colOff>
      <xdr:row>83</xdr:row>
      <xdr:rowOff>1745600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" y="75723750"/>
          <a:ext cx="2204355" cy="17319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73</xdr:row>
      <xdr:rowOff>0</xdr:rowOff>
    </xdr:from>
    <xdr:to>
      <xdr:col>0</xdr:col>
      <xdr:colOff>533400</xdr:colOff>
      <xdr:row>73</xdr:row>
      <xdr:rowOff>0</xdr:rowOff>
    </xdr:to>
    <xdr:sp macro="" textlink="">
      <xdr:nvSpPr>
        <xdr:cNvPr id="47726" name="Picture 2" descr="Cветильник для ЖКХ"/>
        <xdr:cNvSpPr>
          <a:spLocks noChangeAspect="1" noChangeArrowheads="1"/>
        </xdr:cNvSpPr>
      </xdr:nvSpPr>
      <xdr:spPr bwMode="auto">
        <a:xfrm>
          <a:off x="161925" y="53292375"/>
          <a:ext cx="371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73</xdr:row>
      <xdr:rowOff>0</xdr:rowOff>
    </xdr:from>
    <xdr:to>
      <xdr:col>0</xdr:col>
      <xdr:colOff>2381250</xdr:colOff>
      <xdr:row>73</xdr:row>
      <xdr:rowOff>0</xdr:rowOff>
    </xdr:to>
    <xdr:sp macro="" textlink="">
      <xdr:nvSpPr>
        <xdr:cNvPr id="47727" name="Picture 3" descr="Шеврон 1"/>
        <xdr:cNvSpPr>
          <a:spLocks noChangeAspect="1" noChangeArrowheads="1"/>
        </xdr:cNvSpPr>
      </xdr:nvSpPr>
      <xdr:spPr bwMode="auto">
        <a:xfrm>
          <a:off x="57150" y="93821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7728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7729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19050</xdr:colOff>
      <xdr:row>73</xdr:row>
      <xdr:rowOff>19050</xdr:rowOff>
    </xdr:to>
    <xdr:sp macro="" textlink="">
      <xdr:nvSpPr>
        <xdr:cNvPr id="47731" name="Picture 10"/>
        <xdr:cNvSpPr>
          <a:spLocks noChangeAspect="1" noChangeArrowheads="1"/>
        </xdr:cNvSpPr>
      </xdr:nvSpPr>
      <xdr:spPr bwMode="auto">
        <a:xfrm>
          <a:off x="0" y="370903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19050</xdr:colOff>
      <xdr:row>73</xdr:row>
      <xdr:rowOff>19050</xdr:rowOff>
    </xdr:to>
    <xdr:sp macro="" textlink="">
      <xdr:nvSpPr>
        <xdr:cNvPr id="47732" name="Picture 11"/>
        <xdr:cNvSpPr>
          <a:spLocks noChangeAspect="1" noChangeArrowheads="1"/>
        </xdr:cNvSpPr>
      </xdr:nvSpPr>
      <xdr:spPr bwMode="auto">
        <a:xfrm>
          <a:off x="0" y="370903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73</xdr:row>
      <xdr:rowOff>0</xdr:rowOff>
    </xdr:from>
    <xdr:to>
      <xdr:col>0</xdr:col>
      <xdr:colOff>2381250</xdr:colOff>
      <xdr:row>73</xdr:row>
      <xdr:rowOff>0</xdr:rowOff>
    </xdr:to>
    <xdr:sp macro="" textlink="">
      <xdr:nvSpPr>
        <xdr:cNvPr id="132" name="Picture 3" descr="Шеврон 1"/>
        <xdr:cNvSpPr>
          <a:spLocks noChangeAspect="1" noChangeArrowheads="1"/>
        </xdr:cNvSpPr>
      </xdr:nvSpPr>
      <xdr:spPr bwMode="auto">
        <a:xfrm>
          <a:off x="57150" y="2036704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52" name="Picture 3" descr="Шеврон 1"/>
        <xdr:cNvSpPr>
          <a:spLocks noChangeAspect="1" noChangeArrowheads="1"/>
        </xdr:cNvSpPr>
      </xdr:nvSpPr>
      <xdr:spPr bwMode="auto">
        <a:xfrm>
          <a:off x="57150" y="205835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73</xdr:row>
      <xdr:rowOff>0</xdr:rowOff>
    </xdr:from>
    <xdr:to>
      <xdr:col>0</xdr:col>
      <xdr:colOff>2381250</xdr:colOff>
      <xdr:row>73</xdr:row>
      <xdr:rowOff>0</xdr:rowOff>
    </xdr:to>
    <xdr:sp macro="" textlink="">
      <xdr:nvSpPr>
        <xdr:cNvPr id="90" name="Picture 3" descr="Шеврон 1"/>
        <xdr:cNvSpPr>
          <a:spLocks noChangeAspect="1" noChangeArrowheads="1"/>
        </xdr:cNvSpPr>
      </xdr:nvSpPr>
      <xdr:spPr bwMode="auto">
        <a:xfrm>
          <a:off x="57150" y="402621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73</xdr:row>
      <xdr:rowOff>0</xdr:rowOff>
    </xdr:from>
    <xdr:to>
      <xdr:col>0</xdr:col>
      <xdr:colOff>2381250</xdr:colOff>
      <xdr:row>73</xdr:row>
      <xdr:rowOff>0</xdr:rowOff>
    </xdr:to>
    <xdr:sp macro="" textlink="">
      <xdr:nvSpPr>
        <xdr:cNvPr id="102" name="Picture 3" descr="Шеврон 1"/>
        <xdr:cNvSpPr>
          <a:spLocks noChangeAspect="1" noChangeArrowheads="1"/>
        </xdr:cNvSpPr>
      </xdr:nvSpPr>
      <xdr:spPr bwMode="auto">
        <a:xfrm>
          <a:off x="57150" y="427577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143741</xdr:colOff>
      <xdr:row>73</xdr:row>
      <xdr:rowOff>0</xdr:rowOff>
    </xdr:from>
    <xdr:ext cx="2324100" cy="0"/>
    <xdr:sp macro="" textlink="">
      <xdr:nvSpPr>
        <xdr:cNvPr id="103" name="Picture 3" descr="Шеврон 1"/>
        <xdr:cNvSpPr>
          <a:spLocks noChangeAspect="1" noChangeArrowheads="1"/>
        </xdr:cNvSpPr>
      </xdr:nvSpPr>
      <xdr:spPr bwMode="auto">
        <a:xfrm>
          <a:off x="143741" y="37799529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64" name="Picture 3" descr="Шеврон 1"/>
        <xdr:cNvSpPr>
          <a:spLocks noChangeAspect="1" noChangeArrowheads="1"/>
        </xdr:cNvSpPr>
      </xdr:nvSpPr>
      <xdr:spPr bwMode="auto">
        <a:xfrm>
          <a:off x="57150" y="127730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67" name="Picture 3" descr="Шеврон 1"/>
        <xdr:cNvSpPr>
          <a:spLocks noChangeAspect="1" noChangeArrowheads="1"/>
        </xdr:cNvSpPr>
      </xdr:nvSpPr>
      <xdr:spPr bwMode="auto">
        <a:xfrm>
          <a:off x="57150" y="334327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69" name="Picture 3" descr="Шеврон 1"/>
        <xdr:cNvSpPr>
          <a:spLocks noChangeAspect="1" noChangeArrowheads="1"/>
        </xdr:cNvSpPr>
      </xdr:nvSpPr>
      <xdr:spPr bwMode="auto">
        <a:xfrm>
          <a:off x="57150" y="69310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70" name="Picture 3" descr="Шеврон 1"/>
        <xdr:cNvSpPr>
          <a:spLocks noChangeAspect="1" noChangeArrowheads="1"/>
        </xdr:cNvSpPr>
      </xdr:nvSpPr>
      <xdr:spPr bwMode="auto">
        <a:xfrm>
          <a:off x="57150" y="43275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57150</xdr:colOff>
      <xdr:row>8</xdr:row>
      <xdr:rowOff>133350</xdr:rowOff>
    </xdr:from>
    <xdr:to>
      <xdr:col>0</xdr:col>
      <xdr:colOff>2381250</xdr:colOff>
      <xdr:row>8</xdr:row>
      <xdr:rowOff>133350</xdr:rowOff>
    </xdr:to>
    <xdr:sp macro="" textlink="">
      <xdr:nvSpPr>
        <xdr:cNvPr id="99" name="Picture 1" descr="Шеврон 1"/>
        <xdr:cNvSpPr>
          <a:spLocks noChangeAspect="1" noChangeArrowheads="1"/>
        </xdr:cNvSpPr>
      </xdr:nvSpPr>
      <xdr:spPr bwMode="auto">
        <a:xfrm>
          <a:off x="57150" y="222885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57150</xdr:colOff>
      <xdr:row>14</xdr:row>
      <xdr:rowOff>133350</xdr:rowOff>
    </xdr:from>
    <xdr:ext cx="2324100" cy="0"/>
    <xdr:sp macro="" textlink="">
      <xdr:nvSpPr>
        <xdr:cNvPr id="101" name="Picture 1" descr="Шеврон 1"/>
        <xdr:cNvSpPr>
          <a:spLocks noChangeAspect="1" noChangeArrowheads="1"/>
        </xdr:cNvSpPr>
      </xdr:nvSpPr>
      <xdr:spPr bwMode="auto">
        <a:xfrm>
          <a:off x="57150" y="410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20</xdr:row>
      <xdr:rowOff>133350</xdr:rowOff>
    </xdr:from>
    <xdr:ext cx="2324100" cy="0"/>
    <xdr:sp macro="" textlink="">
      <xdr:nvSpPr>
        <xdr:cNvPr id="104" name="Picture 1" descr="Шеврон 1"/>
        <xdr:cNvSpPr>
          <a:spLocks noChangeAspect="1" noChangeArrowheads="1"/>
        </xdr:cNvSpPr>
      </xdr:nvSpPr>
      <xdr:spPr bwMode="auto">
        <a:xfrm>
          <a:off x="57150" y="664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26</xdr:row>
      <xdr:rowOff>133350</xdr:rowOff>
    </xdr:from>
    <xdr:ext cx="2324100" cy="0"/>
    <xdr:sp macro="" textlink="">
      <xdr:nvSpPr>
        <xdr:cNvPr id="105" name="Picture 1" descr="Шеврон 1"/>
        <xdr:cNvSpPr>
          <a:spLocks noChangeAspect="1" noChangeArrowheads="1"/>
        </xdr:cNvSpPr>
      </xdr:nvSpPr>
      <xdr:spPr bwMode="auto">
        <a:xfrm>
          <a:off x="57150" y="918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32</xdr:row>
      <xdr:rowOff>133350</xdr:rowOff>
    </xdr:from>
    <xdr:ext cx="2324100" cy="0"/>
    <xdr:sp macro="" textlink="">
      <xdr:nvSpPr>
        <xdr:cNvPr id="106" name="Picture 1" descr="Шеврон 1"/>
        <xdr:cNvSpPr>
          <a:spLocks noChangeAspect="1" noChangeArrowheads="1"/>
        </xdr:cNvSpPr>
      </xdr:nvSpPr>
      <xdr:spPr bwMode="auto">
        <a:xfrm>
          <a:off x="57150" y="117221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112" name="Picture 3" descr="Шеврон 1"/>
        <xdr:cNvSpPr>
          <a:spLocks noChangeAspect="1" noChangeArrowheads="1"/>
        </xdr:cNvSpPr>
      </xdr:nvSpPr>
      <xdr:spPr bwMode="auto">
        <a:xfrm>
          <a:off x="57150" y="2015123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118" name="Picture 3" descr="Шеврон 1"/>
        <xdr:cNvSpPr>
          <a:spLocks noChangeAspect="1" noChangeArrowheads="1"/>
        </xdr:cNvSpPr>
      </xdr:nvSpPr>
      <xdr:spPr bwMode="auto">
        <a:xfrm>
          <a:off x="57150" y="2533869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73</xdr:row>
      <xdr:rowOff>0</xdr:rowOff>
    </xdr:from>
    <xdr:ext cx="2324100" cy="0"/>
    <xdr:sp macro="" textlink="">
      <xdr:nvSpPr>
        <xdr:cNvPr id="121" name="Picture 3" descr="Шеврон 1"/>
        <xdr:cNvSpPr>
          <a:spLocks noChangeAspect="1" noChangeArrowheads="1"/>
        </xdr:cNvSpPr>
      </xdr:nvSpPr>
      <xdr:spPr bwMode="auto">
        <a:xfrm>
          <a:off x="57150" y="3052616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119" name="Picture 3" descr="Шеврон 1"/>
        <xdr:cNvSpPr>
          <a:spLocks noChangeAspect="1" noChangeArrowheads="1"/>
        </xdr:cNvSpPr>
      </xdr:nvSpPr>
      <xdr:spPr bwMode="auto">
        <a:xfrm>
          <a:off x="57150" y="1559389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128" name="Picture 3" descr="Шеврон 1"/>
        <xdr:cNvSpPr>
          <a:spLocks noChangeAspect="1" noChangeArrowheads="1"/>
        </xdr:cNvSpPr>
      </xdr:nvSpPr>
      <xdr:spPr bwMode="auto">
        <a:xfrm>
          <a:off x="57150" y="1559389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130" name="Picture 3" descr="Шеврон 1"/>
        <xdr:cNvSpPr>
          <a:spLocks noChangeAspect="1" noChangeArrowheads="1"/>
        </xdr:cNvSpPr>
      </xdr:nvSpPr>
      <xdr:spPr bwMode="auto">
        <a:xfrm>
          <a:off x="57150" y="1881773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133" name="Picture 3" descr="Шеврон 1"/>
        <xdr:cNvSpPr>
          <a:spLocks noChangeAspect="1" noChangeArrowheads="1"/>
        </xdr:cNvSpPr>
      </xdr:nvSpPr>
      <xdr:spPr bwMode="auto">
        <a:xfrm>
          <a:off x="57150" y="16224006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125" name="Picture 3" descr="Шеврон 1"/>
        <xdr:cNvSpPr>
          <a:spLocks noChangeAspect="1" noChangeArrowheads="1"/>
        </xdr:cNvSpPr>
      </xdr:nvSpPr>
      <xdr:spPr bwMode="auto">
        <a:xfrm>
          <a:off x="57150" y="2274496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136" name="Picture 3" descr="Шеврон 1"/>
        <xdr:cNvSpPr>
          <a:spLocks noChangeAspect="1" noChangeArrowheads="1"/>
        </xdr:cNvSpPr>
      </xdr:nvSpPr>
      <xdr:spPr bwMode="auto">
        <a:xfrm>
          <a:off x="57150" y="2015123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62</xdr:row>
      <xdr:rowOff>133350</xdr:rowOff>
    </xdr:from>
    <xdr:ext cx="2324100" cy="0"/>
    <xdr:sp macro="" textlink="">
      <xdr:nvSpPr>
        <xdr:cNvPr id="144" name="Picture 1" descr="Шеврон 1"/>
        <xdr:cNvSpPr>
          <a:spLocks noChangeAspect="1" noChangeArrowheads="1"/>
        </xdr:cNvSpPr>
      </xdr:nvSpPr>
      <xdr:spPr bwMode="auto">
        <a:xfrm>
          <a:off x="57150" y="1417173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50</xdr:row>
      <xdr:rowOff>133350</xdr:rowOff>
    </xdr:from>
    <xdr:ext cx="2324100" cy="0"/>
    <xdr:sp macro="" textlink="">
      <xdr:nvSpPr>
        <xdr:cNvPr id="147" name="Picture 1" descr="Шеврон 1"/>
        <xdr:cNvSpPr>
          <a:spLocks noChangeAspect="1" noChangeArrowheads="1"/>
        </xdr:cNvSpPr>
      </xdr:nvSpPr>
      <xdr:spPr bwMode="auto">
        <a:xfrm>
          <a:off x="57150" y="1921265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45</xdr:row>
      <xdr:rowOff>0</xdr:rowOff>
    </xdr:from>
    <xdr:ext cx="2324100" cy="0"/>
    <xdr:sp macro="" textlink="">
      <xdr:nvSpPr>
        <xdr:cNvPr id="149" name="Picture 1" descr="Шеврон 1"/>
        <xdr:cNvSpPr>
          <a:spLocks noChangeAspect="1" noChangeArrowheads="1"/>
        </xdr:cNvSpPr>
      </xdr:nvSpPr>
      <xdr:spPr bwMode="auto">
        <a:xfrm>
          <a:off x="57150" y="1921265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44</xdr:row>
      <xdr:rowOff>133350</xdr:rowOff>
    </xdr:from>
    <xdr:ext cx="2324100" cy="0"/>
    <xdr:sp macro="" textlink="">
      <xdr:nvSpPr>
        <xdr:cNvPr id="151" name="Picture 1" descr="Шеврон 1"/>
        <xdr:cNvSpPr>
          <a:spLocks noChangeAspect="1" noChangeArrowheads="1"/>
        </xdr:cNvSpPr>
      </xdr:nvSpPr>
      <xdr:spPr bwMode="auto">
        <a:xfrm>
          <a:off x="57150" y="19212658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38</xdr:row>
      <xdr:rowOff>133350</xdr:rowOff>
    </xdr:from>
    <xdr:ext cx="2324100" cy="0"/>
    <xdr:sp macro="" textlink="">
      <xdr:nvSpPr>
        <xdr:cNvPr id="39" name="Picture 1" descr="Шеврон 1"/>
        <xdr:cNvSpPr>
          <a:spLocks noChangeAspect="1" noChangeArrowheads="1"/>
        </xdr:cNvSpPr>
      </xdr:nvSpPr>
      <xdr:spPr bwMode="auto">
        <a:xfrm>
          <a:off x="57150" y="18540413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56</xdr:row>
      <xdr:rowOff>133350</xdr:rowOff>
    </xdr:from>
    <xdr:ext cx="2324100" cy="0"/>
    <xdr:sp macro="" textlink="">
      <xdr:nvSpPr>
        <xdr:cNvPr id="44" name="Picture 1" descr="Шеврон 1"/>
        <xdr:cNvSpPr>
          <a:spLocks noChangeAspect="1" noChangeArrowheads="1"/>
        </xdr:cNvSpPr>
      </xdr:nvSpPr>
      <xdr:spPr bwMode="auto">
        <a:xfrm>
          <a:off x="57150" y="36161663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69</xdr:row>
      <xdr:rowOff>133350</xdr:rowOff>
    </xdr:from>
    <xdr:ext cx="2324100" cy="0"/>
    <xdr:sp macro="" textlink="">
      <xdr:nvSpPr>
        <xdr:cNvPr id="48" name="Picture 1" descr="Шеврон 1"/>
        <xdr:cNvSpPr>
          <a:spLocks noChangeAspect="1" noChangeArrowheads="1"/>
        </xdr:cNvSpPr>
      </xdr:nvSpPr>
      <xdr:spPr bwMode="auto">
        <a:xfrm>
          <a:off x="57150" y="36558794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57150</xdr:colOff>
      <xdr:row>72</xdr:row>
      <xdr:rowOff>0</xdr:rowOff>
    </xdr:from>
    <xdr:ext cx="2324100" cy="0"/>
    <xdr:sp macro="" textlink="">
      <xdr:nvSpPr>
        <xdr:cNvPr id="49" name="Picture 1" descr="Шеврон 1"/>
        <xdr:cNvSpPr>
          <a:spLocks noChangeAspect="1" noChangeArrowheads="1"/>
        </xdr:cNvSpPr>
      </xdr:nvSpPr>
      <xdr:spPr bwMode="auto">
        <a:xfrm>
          <a:off x="57150" y="40122987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40256</xdr:colOff>
      <xdr:row>15</xdr:row>
      <xdr:rowOff>134372</xdr:rowOff>
    </xdr:from>
    <xdr:to>
      <xdr:col>0</xdr:col>
      <xdr:colOff>4354286</xdr:colOff>
      <xdr:row>20</xdr:row>
      <xdr:rowOff>796445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6" y="12421622"/>
          <a:ext cx="4314030" cy="50843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38554</xdr:colOff>
      <xdr:row>21</xdr:row>
      <xdr:rowOff>120763</xdr:rowOff>
    </xdr:from>
    <xdr:to>
      <xdr:col>0</xdr:col>
      <xdr:colOff>4354285</xdr:colOff>
      <xdr:row>26</xdr:row>
      <xdr:rowOff>784841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4" y="17714799"/>
          <a:ext cx="4315731" cy="5086399"/>
        </a:xfrm>
        <a:prstGeom prst="rect">
          <a:avLst/>
        </a:prstGeom>
      </xdr:spPr>
    </xdr:pic>
    <xdr:clientData/>
  </xdr:twoCellAnchor>
  <xdr:twoCellAnchor editAs="oneCell">
    <xdr:from>
      <xdr:col>0</xdr:col>
      <xdr:colOff>38555</xdr:colOff>
      <xdr:row>27</xdr:row>
      <xdr:rowOff>105454</xdr:rowOff>
    </xdr:from>
    <xdr:to>
      <xdr:col>0</xdr:col>
      <xdr:colOff>4354287</xdr:colOff>
      <xdr:row>32</xdr:row>
      <xdr:rowOff>769531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5" y="23006275"/>
          <a:ext cx="4315732" cy="5086399"/>
        </a:xfrm>
        <a:prstGeom prst="rect">
          <a:avLst/>
        </a:prstGeom>
      </xdr:spPr>
    </xdr:pic>
    <xdr:clientData/>
  </xdr:twoCellAnchor>
  <xdr:twoCellAnchor editAs="oneCell">
    <xdr:from>
      <xdr:col>0</xdr:col>
      <xdr:colOff>35667</xdr:colOff>
      <xdr:row>33</xdr:row>
      <xdr:rowOff>119063</xdr:rowOff>
    </xdr:from>
    <xdr:to>
      <xdr:col>0</xdr:col>
      <xdr:colOff>4345007</xdr:colOff>
      <xdr:row>38</xdr:row>
      <xdr:rowOff>775606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7" y="28326670"/>
          <a:ext cx="4309340" cy="5078865"/>
        </a:xfrm>
        <a:prstGeom prst="rect">
          <a:avLst/>
        </a:prstGeom>
      </xdr:spPr>
    </xdr:pic>
    <xdr:clientData/>
  </xdr:twoCellAnchor>
  <xdr:twoCellAnchor editAs="oneCell">
    <xdr:from>
      <xdr:col>0</xdr:col>
      <xdr:colOff>45770</xdr:colOff>
      <xdr:row>39</xdr:row>
      <xdr:rowOff>125298</xdr:rowOff>
    </xdr:from>
    <xdr:to>
      <xdr:col>0</xdr:col>
      <xdr:colOff>4347071</xdr:colOff>
      <xdr:row>44</xdr:row>
      <xdr:rowOff>749688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70" y="33812048"/>
          <a:ext cx="4301301" cy="5069390"/>
        </a:xfrm>
        <a:prstGeom prst="rect">
          <a:avLst/>
        </a:prstGeom>
      </xdr:spPr>
    </xdr:pic>
    <xdr:clientData/>
  </xdr:twoCellAnchor>
  <xdr:twoCellAnchor editAs="oneCell">
    <xdr:from>
      <xdr:col>0</xdr:col>
      <xdr:colOff>38063</xdr:colOff>
      <xdr:row>45</xdr:row>
      <xdr:rowOff>100349</xdr:rowOff>
    </xdr:from>
    <xdr:to>
      <xdr:col>0</xdr:col>
      <xdr:colOff>4369593</xdr:colOff>
      <xdr:row>50</xdr:row>
      <xdr:rowOff>800054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3" y="38771849"/>
          <a:ext cx="4331530" cy="5105018"/>
        </a:xfrm>
        <a:prstGeom prst="rect">
          <a:avLst/>
        </a:prstGeom>
      </xdr:spPr>
    </xdr:pic>
    <xdr:clientData/>
  </xdr:twoCellAnchor>
  <xdr:twoCellAnchor editAs="oneCell">
    <xdr:from>
      <xdr:col>0</xdr:col>
      <xdr:colOff>24174</xdr:colOff>
      <xdr:row>51</xdr:row>
      <xdr:rowOff>88449</xdr:rowOff>
    </xdr:from>
    <xdr:to>
      <xdr:col>0</xdr:col>
      <xdr:colOff>4369593</xdr:colOff>
      <xdr:row>56</xdr:row>
      <xdr:rowOff>804522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4" y="44046324"/>
          <a:ext cx="4345419" cy="5121386"/>
        </a:xfrm>
        <a:prstGeom prst="rect">
          <a:avLst/>
        </a:prstGeom>
      </xdr:spPr>
    </xdr:pic>
    <xdr:clientData/>
  </xdr:twoCellAnchor>
  <xdr:twoCellAnchor editAs="oneCell">
    <xdr:from>
      <xdr:col>0</xdr:col>
      <xdr:colOff>36080</xdr:colOff>
      <xdr:row>57</xdr:row>
      <xdr:rowOff>88447</xdr:rowOff>
    </xdr:from>
    <xdr:to>
      <xdr:col>0</xdr:col>
      <xdr:colOff>4357687</xdr:colOff>
      <xdr:row>62</xdr:row>
      <xdr:rowOff>776456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0" y="49332697"/>
          <a:ext cx="4321607" cy="5093322"/>
        </a:xfrm>
        <a:prstGeom prst="rect">
          <a:avLst/>
        </a:prstGeom>
      </xdr:spPr>
    </xdr:pic>
    <xdr:clientData/>
  </xdr:twoCellAnchor>
  <xdr:twoCellAnchor editAs="oneCell">
    <xdr:from>
      <xdr:col>0</xdr:col>
      <xdr:colOff>28503</xdr:colOff>
      <xdr:row>64</xdr:row>
      <xdr:rowOff>111126</xdr:rowOff>
    </xdr:from>
    <xdr:to>
      <xdr:col>0</xdr:col>
      <xdr:colOff>4365625</xdr:colOff>
      <xdr:row>69</xdr:row>
      <xdr:rowOff>777736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3" y="55133876"/>
          <a:ext cx="4337122" cy="5111610"/>
        </a:xfrm>
        <a:prstGeom prst="rect">
          <a:avLst/>
        </a:prstGeom>
      </xdr:spPr>
    </xdr:pic>
    <xdr:clientData/>
  </xdr:twoCellAnchor>
  <xdr:twoCellAnchor editAs="oneCell">
    <xdr:from>
      <xdr:col>0</xdr:col>
      <xdr:colOff>69427</xdr:colOff>
      <xdr:row>70</xdr:row>
      <xdr:rowOff>953862</xdr:rowOff>
    </xdr:from>
    <xdr:to>
      <xdr:col>0</xdr:col>
      <xdr:colOff>4366503</xdr:colOff>
      <xdr:row>71</xdr:row>
      <xdr:rowOff>873070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7" y="41543969"/>
          <a:ext cx="4297076" cy="168813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</xdr:row>
      <xdr:rowOff>91847</xdr:rowOff>
    </xdr:from>
    <xdr:to>
      <xdr:col>0</xdr:col>
      <xdr:colOff>4356552</xdr:colOff>
      <xdr:row>8</xdr:row>
      <xdr:rowOff>787998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765526"/>
          <a:ext cx="4342945" cy="5118472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</xdr:colOff>
      <xdr:row>9</xdr:row>
      <xdr:rowOff>146276</xdr:rowOff>
    </xdr:from>
    <xdr:to>
      <xdr:col>0</xdr:col>
      <xdr:colOff>4354286</xdr:colOff>
      <xdr:row>14</xdr:row>
      <xdr:rowOff>817035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5" y="7126740"/>
          <a:ext cx="4321401" cy="50930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91</xdr:row>
      <xdr:rowOff>0</xdr:rowOff>
    </xdr:from>
    <xdr:to>
      <xdr:col>0</xdr:col>
      <xdr:colOff>2381250</xdr:colOff>
      <xdr:row>91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91</xdr:row>
      <xdr:rowOff>0</xdr:rowOff>
    </xdr:from>
    <xdr:to>
      <xdr:col>0</xdr:col>
      <xdr:colOff>2381250</xdr:colOff>
      <xdr:row>91</xdr:row>
      <xdr:rowOff>0</xdr:rowOff>
    </xdr:to>
    <xdr:sp macro="" textlink="">
      <xdr:nvSpPr>
        <xdr:cNvPr id="5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91</xdr:row>
      <xdr:rowOff>0</xdr:rowOff>
    </xdr:from>
    <xdr:to>
      <xdr:col>0</xdr:col>
      <xdr:colOff>2381250</xdr:colOff>
      <xdr:row>91</xdr:row>
      <xdr:rowOff>0</xdr:rowOff>
    </xdr:to>
    <xdr:sp macro="" textlink="">
      <xdr:nvSpPr>
        <xdr:cNvPr id="6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91</xdr:row>
      <xdr:rowOff>0</xdr:rowOff>
    </xdr:from>
    <xdr:to>
      <xdr:col>0</xdr:col>
      <xdr:colOff>2381250</xdr:colOff>
      <xdr:row>91</xdr:row>
      <xdr:rowOff>0</xdr:rowOff>
    </xdr:to>
    <xdr:sp macro="" textlink="">
      <xdr:nvSpPr>
        <xdr:cNvPr id="7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91</xdr:row>
      <xdr:rowOff>0</xdr:rowOff>
    </xdr:from>
    <xdr:to>
      <xdr:col>0</xdr:col>
      <xdr:colOff>2381250</xdr:colOff>
      <xdr:row>91</xdr:row>
      <xdr:rowOff>0</xdr:rowOff>
    </xdr:to>
    <xdr:sp macro="" textlink="">
      <xdr:nvSpPr>
        <xdr:cNvPr id="8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57150</xdr:colOff>
      <xdr:row>91</xdr:row>
      <xdr:rowOff>0</xdr:rowOff>
    </xdr:from>
    <xdr:to>
      <xdr:col>0</xdr:col>
      <xdr:colOff>2381250</xdr:colOff>
      <xdr:row>91</xdr:row>
      <xdr:rowOff>0</xdr:rowOff>
    </xdr:to>
    <xdr:sp macro="" textlink="">
      <xdr:nvSpPr>
        <xdr:cNvPr id="9" name="Picture 1" descr="Шеврон 1"/>
        <xdr:cNvSpPr>
          <a:spLocks noChangeAspect="1" noChangeArrowheads="1"/>
        </xdr:cNvSpPr>
      </xdr:nvSpPr>
      <xdr:spPr bwMode="auto">
        <a:xfrm>
          <a:off x="57150" y="17687925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152400</xdr:colOff>
      <xdr:row>91</xdr:row>
      <xdr:rowOff>0</xdr:rowOff>
    </xdr:from>
    <xdr:to>
      <xdr:col>0</xdr:col>
      <xdr:colOff>2619375</xdr:colOff>
      <xdr:row>91</xdr:row>
      <xdr:rowOff>0</xdr:rowOff>
    </xdr:to>
    <xdr:pic>
      <xdr:nvPicPr>
        <xdr:cNvPr id="1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11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12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13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14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1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1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1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1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215900</xdr:colOff>
      <xdr:row>91</xdr:row>
      <xdr:rowOff>0</xdr:rowOff>
    </xdr:from>
    <xdr:ext cx="2466975" cy="0"/>
    <xdr:pic>
      <xdr:nvPicPr>
        <xdr:cNvPr id="1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2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2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91</xdr:row>
      <xdr:rowOff>0</xdr:rowOff>
    </xdr:from>
    <xdr:ext cx="2466975" cy="0"/>
    <xdr:pic>
      <xdr:nvPicPr>
        <xdr:cNvPr id="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2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2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168275</xdr:colOff>
      <xdr:row>91</xdr:row>
      <xdr:rowOff>0</xdr:rowOff>
    </xdr:from>
    <xdr:ext cx="2466975" cy="0"/>
    <xdr:pic>
      <xdr:nvPicPr>
        <xdr:cNvPr id="2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2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91</xdr:row>
      <xdr:rowOff>0</xdr:rowOff>
    </xdr:from>
    <xdr:to>
      <xdr:col>0</xdr:col>
      <xdr:colOff>19812</xdr:colOff>
      <xdr:row>102</xdr:row>
      <xdr:rowOff>59988</xdr:rowOff>
    </xdr:to>
    <xdr:sp macro="" textlink="">
      <xdr:nvSpPr>
        <xdr:cNvPr id="27" name="Picture 10"/>
        <xdr:cNvSpPr>
          <a:spLocks noChangeAspect="1" noChangeArrowheads="1"/>
        </xdr:cNvSpPr>
      </xdr:nvSpPr>
      <xdr:spPr bwMode="auto">
        <a:xfrm>
          <a:off x="0" y="17687925"/>
          <a:ext cx="19812" cy="268412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19812</xdr:colOff>
      <xdr:row>102</xdr:row>
      <xdr:rowOff>59988</xdr:rowOff>
    </xdr:to>
    <xdr:sp macro="" textlink="">
      <xdr:nvSpPr>
        <xdr:cNvPr id="28" name="Picture 11"/>
        <xdr:cNvSpPr>
          <a:spLocks noChangeAspect="1" noChangeArrowheads="1"/>
        </xdr:cNvSpPr>
      </xdr:nvSpPr>
      <xdr:spPr bwMode="auto">
        <a:xfrm>
          <a:off x="0" y="17687925"/>
          <a:ext cx="19812" cy="268412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422275</xdr:colOff>
      <xdr:row>91</xdr:row>
      <xdr:rowOff>0</xdr:rowOff>
    </xdr:from>
    <xdr:ext cx="2466975" cy="0"/>
    <xdr:pic>
      <xdr:nvPicPr>
        <xdr:cNvPr id="2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91</xdr:row>
      <xdr:rowOff>0</xdr:rowOff>
    </xdr:from>
    <xdr:ext cx="2466975" cy="0"/>
    <xdr:pic>
      <xdr:nvPicPr>
        <xdr:cNvPr id="3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422275</xdr:colOff>
      <xdr:row>91</xdr:row>
      <xdr:rowOff>0</xdr:rowOff>
    </xdr:from>
    <xdr:ext cx="2466975" cy="0"/>
    <xdr:pic>
      <xdr:nvPicPr>
        <xdr:cNvPr id="3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215900</xdr:colOff>
      <xdr:row>91</xdr:row>
      <xdr:rowOff>0</xdr:rowOff>
    </xdr:from>
    <xdr:ext cx="2466975" cy="0"/>
    <xdr:pic>
      <xdr:nvPicPr>
        <xdr:cNvPr id="3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68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3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8779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3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9921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3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6297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3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771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3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248025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42</xdr:row>
      <xdr:rowOff>619125</xdr:rowOff>
    </xdr:from>
    <xdr:ext cx="2466975" cy="0"/>
    <xdr:pic>
      <xdr:nvPicPr>
        <xdr:cNvPr id="4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67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4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7398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4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67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4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15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5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345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5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91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41</xdr:row>
      <xdr:rowOff>0</xdr:rowOff>
    </xdr:from>
    <xdr:ext cx="2466975" cy="0"/>
    <xdr:pic>
      <xdr:nvPicPr>
        <xdr:cNvPr id="5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102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5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312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5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8368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5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8368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5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361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5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15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5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345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691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102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670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250656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6255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982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6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10125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</xdr:row>
      <xdr:rowOff>619125</xdr:rowOff>
    </xdr:from>
    <xdr:ext cx="2466975" cy="0"/>
    <xdr:pic>
      <xdr:nvPicPr>
        <xdr:cNvPr id="6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72313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</xdr:row>
      <xdr:rowOff>619125</xdr:rowOff>
    </xdr:from>
    <xdr:ext cx="2466975" cy="0"/>
    <xdr:pic>
      <xdr:nvPicPr>
        <xdr:cNvPr id="7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2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10</xdr:row>
      <xdr:rowOff>619125</xdr:rowOff>
    </xdr:from>
    <xdr:ext cx="2466975" cy="0"/>
    <xdr:pic>
      <xdr:nvPicPr>
        <xdr:cNvPr id="7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17</xdr:row>
      <xdr:rowOff>0</xdr:rowOff>
    </xdr:from>
    <xdr:ext cx="2466975" cy="0"/>
    <xdr:pic>
      <xdr:nvPicPr>
        <xdr:cNvPr id="7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8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47626</xdr:colOff>
      <xdr:row>3</xdr:row>
      <xdr:rowOff>1</xdr:rowOff>
    </xdr:from>
    <xdr:to>
      <xdr:col>0</xdr:col>
      <xdr:colOff>4357688</xdr:colOff>
      <xdr:row>5</xdr:row>
      <xdr:rowOff>1100478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660072"/>
          <a:ext cx="4310062" cy="3386477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18</xdr:row>
      <xdr:rowOff>619125</xdr:rowOff>
    </xdr:from>
    <xdr:ext cx="2466975" cy="0"/>
    <xdr:pic>
      <xdr:nvPicPr>
        <xdr:cNvPr id="8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29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27</xdr:row>
      <xdr:rowOff>619125</xdr:rowOff>
    </xdr:from>
    <xdr:ext cx="2466975" cy="0"/>
    <xdr:pic>
      <xdr:nvPicPr>
        <xdr:cNvPr id="8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30</xdr:row>
      <xdr:rowOff>619125</xdr:rowOff>
    </xdr:from>
    <xdr:ext cx="2466975" cy="0"/>
    <xdr:pic>
      <xdr:nvPicPr>
        <xdr:cNvPr id="8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287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39</xdr:row>
      <xdr:rowOff>619125</xdr:rowOff>
    </xdr:from>
    <xdr:ext cx="2466975" cy="0"/>
    <xdr:pic>
      <xdr:nvPicPr>
        <xdr:cNvPr id="8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716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47626</xdr:colOff>
      <xdr:row>17</xdr:row>
      <xdr:rowOff>35718</xdr:rowOff>
    </xdr:from>
    <xdr:to>
      <xdr:col>0</xdr:col>
      <xdr:colOff>4357687</xdr:colOff>
      <xdr:row>19</xdr:row>
      <xdr:rowOff>1136194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2269789"/>
          <a:ext cx="4310061" cy="338647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71439</xdr:colOff>
      <xdr:row>41</xdr:row>
      <xdr:rowOff>23812</xdr:rowOff>
    </xdr:from>
    <xdr:to>
      <xdr:col>0</xdr:col>
      <xdr:colOff>4345782</xdr:colOff>
      <xdr:row>43</xdr:row>
      <xdr:rowOff>1096224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9" y="35973883"/>
          <a:ext cx="4274343" cy="3358412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54</xdr:row>
      <xdr:rowOff>619125</xdr:rowOff>
    </xdr:from>
    <xdr:ext cx="2466975" cy="0"/>
    <xdr:pic>
      <xdr:nvPicPr>
        <xdr:cNvPr id="9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48</xdr:row>
      <xdr:rowOff>619125</xdr:rowOff>
    </xdr:from>
    <xdr:ext cx="2466975" cy="0"/>
    <xdr:pic>
      <xdr:nvPicPr>
        <xdr:cNvPr id="9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45</xdr:row>
      <xdr:rowOff>619125</xdr:rowOff>
    </xdr:from>
    <xdr:ext cx="2466975" cy="0"/>
    <xdr:pic>
      <xdr:nvPicPr>
        <xdr:cNvPr id="9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86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63</xdr:row>
      <xdr:rowOff>619125</xdr:rowOff>
    </xdr:from>
    <xdr:ext cx="2466975" cy="0"/>
    <xdr:pic>
      <xdr:nvPicPr>
        <xdr:cNvPr id="9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60</xdr:row>
      <xdr:rowOff>619125</xdr:rowOff>
    </xdr:from>
    <xdr:ext cx="2466975" cy="0"/>
    <xdr:pic>
      <xdr:nvPicPr>
        <xdr:cNvPr id="9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57</xdr:row>
      <xdr:rowOff>619125</xdr:rowOff>
    </xdr:from>
    <xdr:ext cx="2466975" cy="0"/>
    <xdr:pic>
      <xdr:nvPicPr>
        <xdr:cNvPr id="10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1148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59532</xdr:colOff>
      <xdr:row>53</xdr:row>
      <xdr:rowOff>46774</xdr:rowOff>
    </xdr:from>
    <xdr:to>
      <xdr:col>0</xdr:col>
      <xdr:colOff>4321968</xdr:colOff>
      <xdr:row>55</xdr:row>
      <xdr:rowOff>1109830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49712845"/>
          <a:ext cx="4262436" cy="3349056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66</xdr:row>
      <xdr:rowOff>619125</xdr:rowOff>
    </xdr:from>
    <xdr:ext cx="2466975" cy="0"/>
    <xdr:pic>
      <xdr:nvPicPr>
        <xdr:cNvPr id="9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435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59532</xdr:colOff>
      <xdr:row>65</xdr:row>
      <xdr:rowOff>23813</xdr:rowOff>
    </xdr:from>
    <xdr:to>
      <xdr:col>0</xdr:col>
      <xdr:colOff>4357687</xdr:colOff>
      <xdr:row>67</xdr:row>
      <xdr:rowOff>1114934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63405884"/>
          <a:ext cx="4298155" cy="3377121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69</xdr:row>
      <xdr:rowOff>619125</xdr:rowOff>
    </xdr:from>
    <xdr:ext cx="2466975" cy="0"/>
    <xdr:pic>
      <xdr:nvPicPr>
        <xdr:cNvPr id="10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486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72</xdr:row>
      <xdr:rowOff>619125</xdr:rowOff>
    </xdr:from>
    <xdr:ext cx="2466975" cy="0"/>
    <xdr:pic>
      <xdr:nvPicPr>
        <xdr:cNvPr id="10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29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75</xdr:row>
      <xdr:rowOff>619125</xdr:rowOff>
    </xdr:from>
    <xdr:ext cx="2466975" cy="0"/>
    <xdr:pic>
      <xdr:nvPicPr>
        <xdr:cNvPr id="10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172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78</xdr:row>
      <xdr:rowOff>619125</xdr:rowOff>
    </xdr:from>
    <xdr:ext cx="2466975" cy="0"/>
    <xdr:pic>
      <xdr:nvPicPr>
        <xdr:cNvPr id="11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4864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81</xdr:row>
      <xdr:rowOff>619125</xdr:rowOff>
    </xdr:from>
    <xdr:ext cx="2466975" cy="0"/>
    <xdr:pic>
      <xdr:nvPicPr>
        <xdr:cNvPr id="11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293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84</xdr:row>
      <xdr:rowOff>619125</xdr:rowOff>
    </xdr:from>
    <xdr:ext cx="2466975" cy="0"/>
    <xdr:pic>
      <xdr:nvPicPr>
        <xdr:cNvPr id="11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172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87</xdr:row>
      <xdr:rowOff>619125</xdr:rowOff>
    </xdr:from>
    <xdr:ext cx="2466975" cy="0"/>
    <xdr:pic>
      <xdr:nvPicPr>
        <xdr:cNvPr id="11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151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35720</xdr:colOff>
      <xdr:row>77</xdr:row>
      <xdr:rowOff>23812</xdr:rowOff>
    </xdr:from>
    <xdr:to>
      <xdr:col>0</xdr:col>
      <xdr:colOff>4357688</xdr:colOff>
      <xdr:row>79</xdr:row>
      <xdr:rowOff>1133643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77121883"/>
          <a:ext cx="4321968" cy="3395831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13</xdr:row>
      <xdr:rowOff>619125</xdr:rowOff>
    </xdr:from>
    <xdr:ext cx="2466975" cy="0"/>
    <xdr:pic>
      <xdr:nvPicPr>
        <xdr:cNvPr id="11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3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91</xdr:row>
      <xdr:rowOff>0</xdr:rowOff>
    </xdr:from>
    <xdr:ext cx="2466975" cy="0"/>
    <xdr:pic>
      <xdr:nvPicPr>
        <xdr:cNvPr id="11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71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108857</xdr:colOff>
      <xdr:row>15</xdr:row>
      <xdr:rowOff>54429</xdr:rowOff>
    </xdr:from>
    <xdr:to>
      <xdr:col>0</xdr:col>
      <xdr:colOff>4347482</xdr:colOff>
      <xdr:row>15</xdr:row>
      <xdr:rowOff>3384777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5430500"/>
          <a:ext cx="4238625" cy="3330348"/>
        </a:xfrm>
        <a:prstGeom prst="rect">
          <a:avLst/>
        </a:prstGeom>
      </xdr:spPr>
    </xdr:pic>
    <xdr:clientData/>
  </xdr:twoCellAnchor>
  <xdr:oneCellAnchor>
    <xdr:from>
      <xdr:col>0</xdr:col>
      <xdr:colOff>54429</xdr:colOff>
      <xdr:row>16</xdr:row>
      <xdr:rowOff>40821</xdr:rowOff>
    </xdr:from>
    <xdr:ext cx="4292929" cy="3373015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8845892"/>
          <a:ext cx="4292929" cy="3373015"/>
        </a:xfrm>
        <a:prstGeom prst="rect">
          <a:avLst/>
        </a:prstGeom>
      </xdr:spPr>
    </xdr:pic>
    <xdr:clientData/>
  </xdr:oneCellAnchor>
  <xdr:twoCellAnchor editAs="oneCell">
    <xdr:from>
      <xdr:col>0</xdr:col>
      <xdr:colOff>54428</xdr:colOff>
      <xdr:row>6</xdr:row>
      <xdr:rowOff>13607</xdr:rowOff>
    </xdr:from>
    <xdr:to>
      <xdr:col>0</xdr:col>
      <xdr:colOff>4364490</xdr:colOff>
      <xdr:row>8</xdr:row>
      <xdr:rowOff>1114084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5102678"/>
          <a:ext cx="4310062" cy="338647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9</xdr:row>
      <xdr:rowOff>13607</xdr:rowOff>
    </xdr:from>
    <xdr:to>
      <xdr:col>0</xdr:col>
      <xdr:colOff>4364491</xdr:colOff>
      <xdr:row>11</xdr:row>
      <xdr:rowOff>1114084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8531678"/>
          <a:ext cx="4310062" cy="338647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12</xdr:row>
      <xdr:rowOff>13607</xdr:rowOff>
    </xdr:from>
    <xdr:to>
      <xdr:col>0</xdr:col>
      <xdr:colOff>4337276</xdr:colOff>
      <xdr:row>14</xdr:row>
      <xdr:rowOff>1114084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11960678"/>
          <a:ext cx="4310062" cy="338647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26</xdr:row>
      <xdr:rowOff>27215</xdr:rowOff>
    </xdr:from>
    <xdr:to>
      <xdr:col>0</xdr:col>
      <xdr:colOff>4364490</xdr:colOff>
      <xdr:row>28</xdr:row>
      <xdr:rowOff>1127691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25690286"/>
          <a:ext cx="4310061" cy="3386476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30</xdr:row>
      <xdr:rowOff>619125</xdr:rowOff>
    </xdr:from>
    <xdr:ext cx="2466975" cy="0"/>
    <xdr:pic>
      <xdr:nvPicPr>
        <xdr:cNvPr id="12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54429</xdr:colOff>
      <xdr:row>29</xdr:row>
      <xdr:rowOff>27215</xdr:rowOff>
    </xdr:from>
    <xdr:ext cx="4310061" cy="3386476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25690286"/>
          <a:ext cx="4310061" cy="3386476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39</xdr:row>
      <xdr:rowOff>619125</xdr:rowOff>
    </xdr:from>
    <xdr:ext cx="2466975" cy="0"/>
    <xdr:pic>
      <xdr:nvPicPr>
        <xdr:cNvPr id="12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54429</xdr:colOff>
      <xdr:row>38</xdr:row>
      <xdr:rowOff>27215</xdr:rowOff>
    </xdr:from>
    <xdr:ext cx="4310061" cy="3386476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25690286"/>
          <a:ext cx="4310061" cy="3386476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45</xdr:row>
      <xdr:rowOff>619125</xdr:rowOff>
    </xdr:from>
    <xdr:ext cx="2466975" cy="0"/>
    <xdr:pic>
      <xdr:nvPicPr>
        <xdr:cNvPr id="13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71439</xdr:colOff>
      <xdr:row>44</xdr:row>
      <xdr:rowOff>23812</xdr:rowOff>
    </xdr:from>
    <xdr:ext cx="4274343" cy="3358412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9" y="35973883"/>
          <a:ext cx="4274343" cy="3358412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48</xdr:row>
      <xdr:rowOff>619125</xdr:rowOff>
    </xdr:from>
    <xdr:ext cx="2466975" cy="0"/>
    <xdr:pic>
      <xdr:nvPicPr>
        <xdr:cNvPr id="13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71439</xdr:colOff>
      <xdr:row>47</xdr:row>
      <xdr:rowOff>23812</xdr:rowOff>
    </xdr:from>
    <xdr:ext cx="4274343" cy="3358412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9" y="35973883"/>
          <a:ext cx="4274343" cy="3358412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51</xdr:row>
      <xdr:rowOff>619125</xdr:rowOff>
    </xdr:from>
    <xdr:ext cx="2466975" cy="0"/>
    <xdr:pic>
      <xdr:nvPicPr>
        <xdr:cNvPr id="13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712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71439</xdr:colOff>
      <xdr:row>50</xdr:row>
      <xdr:rowOff>23812</xdr:rowOff>
    </xdr:from>
    <xdr:ext cx="4274343" cy="3358412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9" y="35973883"/>
          <a:ext cx="4274343" cy="3358412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57</xdr:row>
      <xdr:rowOff>619125</xdr:rowOff>
    </xdr:from>
    <xdr:ext cx="2466975" cy="0"/>
    <xdr:pic>
      <xdr:nvPicPr>
        <xdr:cNvPr id="13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59532</xdr:colOff>
      <xdr:row>56</xdr:row>
      <xdr:rowOff>46774</xdr:rowOff>
    </xdr:from>
    <xdr:ext cx="4262436" cy="3349056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49712845"/>
          <a:ext cx="4262436" cy="3349056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60</xdr:row>
      <xdr:rowOff>619125</xdr:rowOff>
    </xdr:from>
    <xdr:ext cx="2466975" cy="0"/>
    <xdr:pic>
      <xdr:nvPicPr>
        <xdr:cNvPr id="13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59532</xdr:colOff>
      <xdr:row>59</xdr:row>
      <xdr:rowOff>46774</xdr:rowOff>
    </xdr:from>
    <xdr:ext cx="4262436" cy="3349056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49712845"/>
          <a:ext cx="4262436" cy="3349056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63</xdr:row>
      <xdr:rowOff>619125</xdr:rowOff>
    </xdr:from>
    <xdr:ext cx="2466975" cy="0"/>
    <xdr:pic>
      <xdr:nvPicPr>
        <xdr:cNvPr id="14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428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59532</xdr:colOff>
      <xdr:row>62</xdr:row>
      <xdr:rowOff>46774</xdr:rowOff>
    </xdr:from>
    <xdr:ext cx="4262436" cy="3349056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49712845"/>
          <a:ext cx="4262436" cy="3349056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69</xdr:row>
      <xdr:rowOff>619125</xdr:rowOff>
    </xdr:from>
    <xdr:ext cx="2466975" cy="0"/>
    <xdr:pic>
      <xdr:nvPicPr>
        <xdr:cNvPr id="14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14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59532</xdr:colOff>
      <xdr:row>68</xdr:row>
      <xdr:rowOff>23813</xdr:rowOff>
    </xdr:from>
    <xdr:ext cx="4298155" cy="3377121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63405884"/>
          <a:ext cx="4298155" cy="337712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72</xdr:row>
      <xdr:rowOff>619125</xdr:rowOff>
    </xdr:from>
    <xdr:ext cx="2466975" cy="0"/>
    <xdr:pic>
      <xdr:nvPicPr>
        <xdr:cNvPr id="14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14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59532</xdr:colOff>
      <xdr:row>71</xdr:row>
      <xdr:rowOff>23813</xdr:rowOff>
    </xdr:from>
    <xdr:ext cx="4298155" cy="3377121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63405884"/>
          <a:ext cx="4298155" cy="337712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75</xdr:row>
      <xdr:rowOff>619125</xdr:rowOff>
    </xdr:from>
    <xdr:ext cx="2466975" cy="0"/>
    <xdr:pic>
      <xdr:nvPicPr>
        <xdr:cNvPr id="147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14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59532</xdr:colOff>
      <xdr:row>74</xdr:row>
      <xdr:rowOff>23813</xdr:rowOff>
    </xdr:from>
    <xdr:ext cx="4298155" cy="3377121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63405884"/>
          <a:ext cx="4298155" cy="337712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81</xdr:row>
      <xdr:rowOff>619125</xdr:rowOff>
    </xdr:from>
    <xdr:ext cx="2466975" cy="0"/>
    <xdr:pic>
      <xdr:nvPicPr>
        <xdr:cNvPr id="149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35720</xdr:colOff>
      <xdr:row>80</xdr:row>
      <xdr:rowOff>23812</xdr:rowOff>
    </xdr:from>
    <xdr:ext cx="4321968" cy="3395831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77121883"/>
          <a:ext cx="4321968" cy="339583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84</xdr:row>
      <xdr:rowOff>619125</xdr:rowOff>
    </xdr:from>
    <xdr:ext cx="2466975" cy="0"/>
    <xdr:pic>
      <xdr:nvPicPr>
        <xdr:cNvPr id="15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35720</xdr:colOff>
      <xdr:row>83</xdr:row>
      <xdr:rowOff>23812</xdr:rowOff>
    </xdr:from>
    <xdr:ext cx="4321968" cy="3395831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77121883"/>
          <a:ext cx="4321968" cy="339583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87</xdr:row>
      <xdr:rowOff>619125</xdr:rowOff>
    </xdr:from>
    <xdr:ext cx="2466975" cy="0"/>
    <xdr:pic>
      <xdr:nvPicPr>
        <xdr:cNvPr id="153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86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35720</xdr:colOff>
      <xdr:row>86</xdr:row>
      <xdr:rowOff>23812</xdr:rowOff>
    </xdr:from>
    <xdr:ext cx="4321968" cy="3395831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77121883"/>
          <a:ext cx="4321968" cy="3395831"/>
        </a:xfrm>
        <a:prstGeom prst="rect">
          <a:avLst/>
        </a:prstGeom>
      </xdr:spPr>
    </xdr:pic>
    <xdr:clientData/>
  </xdr:oneCellAnchor>
  <xdr:twoCellAnchor editAs="oneCell">
    <xdr:from>
      <xdr:col>0</xdr:col>
      <xdr:colOff>68034</xdr:colOff>
      <xdr:row>90</xdr:row>
      <xdr:rowOff>40820</xdr:rowOff>
    </xdr:from>
    <xdr:to>
      <xdr:col>0</xdr:col>
      <xdr:colOff>4328309</xdr:colOff>
      <xdr:row>90</xdr:row>
      <xdr:rowOff>3388178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91358356"/>
          <a:ext cx="4260275" cy="3347358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21</xdr:row>
      <xdr:rowOff>619125</xdr:rowOff>
    </xdr:from>
    <xdr:ext cx="2466975" cy="0"/>
    <xdr:pic>
      <xdr:nvPicPr>
        <xdr:cNvPr id="155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85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24</xdr:row>
      <xdr:rowOff>619125</xdr:rowOff>
    </xdr:from>
    <xdr:ext cx="2466975" cy="0"/>
    <xdr:pic>
      <xdr:nvPicPr>
        <xdr:cNvPr id="158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36</xdr:row>
      <xdr:rowOff>619125</xdr:rowOff>
    </xdr:from>
    <xdr:ext cx="2466975" cy="0"/>
    <xdr:pic>
      <xdr:nvPicPr>
        <xdr:cNvPr id="160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854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33</xdr:row>
      <xdr:rowOff>619125</xdr:rowOff>
    </xdr:from>
    <xdr:ext cx="2466975" cy="0"/>
    <xdr:pic>
      <xdr:nvPicPr>
        <xdr:cNvPr id="161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570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40821</xdr:colOff>
      <xdr:row>20</xdr:row>
      <xdr:rowOff>27214</xdr:rowOff>
    </xdr:from>
    <xdr:to>
      <xdr:col>0</xdr:col>
      <xdr:colOff>4353049</xdr:colOff>
      <xdr:row>22</xdr:row>
      <xdr:rowOff>1129392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5690285"/>
          <a:ext cx="4312228" cy="3388178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24</xdr:row>
      <xdr:rowOff>619125</xdr:rowOff>
    </xdr:from>
    <xdr:ext cx="2466975" cy="0"/>
    <xdr:pic>
      <xdr:nvPicPr>
        <xdr:cNvPr id="16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40821</xdr:colOff>
      <xdr:row>23</xdr:row>
      <xdr:rowOff>27214</xdr:rowOff>
    </xdr:from>
    <xdr:ext cx="4312228" cy="3388178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9119285"/>
          <a:ext cx="4312228" cy="3388178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33</xdr:row>
      <xdr:rowOff>619125</xdr:rowOff>
    </xdr:from>
    <xdr:ext cx="2466975" cy="0"/>
    <xdr:pic>
      <xdr:nvPicPr>
        <xdr:cNvPr id="164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40821</xdr:colOff>
      <xdr:row>32</xdr:row>
      <xdr:rowOff>27214</xdr:rowOff>
    </xdr:from>
    <xdr:ext cx="4312228" cy="3388178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39406285"/>
          <a:ext cx="4312228" cy="3388178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36</xdr:row>
      <xdr:rowOff>619125</xdr:rowOff>
    </xdr:from>
    <xdr:ext cx="2466975" cy="0"/>
    <xdr:pic>
      <xdr:nvPicPr>
        <xdr:cNvPr id="166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25196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40821</xdr:colOff>
      <xdr:row>35</xdr:row>
      <xdr:rowOff>27214</xdr:rowOff>
    </xdr:from>
    <xdr:ext cx="4312228" cy="3388178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42835285"/>
          <a:ext cx="4312228" cy="338817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51</xdr:row>
      <xdr:rowOff>0</xdr:rowOff>
    </xdr:from>
    <xdr:to>
      <xdr:col>0</xdr:col>
      <xdr:colOff>2381250</xdr:colOff>
      <xdr:row>51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72961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19050</xdr:colOff>
      <xdr:row>51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72961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19050</xdr:colOff>
      <xdr:row>51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72961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35717</xdr:colOff>
      <xdr:row>3</xdr:row>
      <xdr:rowOff>442232</xdr:rowOff>
    </xdr:from>
    <xdr:to>
      <xdr:col>0</xdr:col>
      <xdr:colOff>4369589</xdr:colOff>
      <xdr:row>4</xdr:row>
      <xdr:rowOff>879360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7" y="2143125"/>
          <a:ext cx="4333872" cy="1702592"/>
        </a:xfrm>
        <a:prstGeom prst="rect">
          <a:avLst/>
        </a:prstGeom>
      </xdr:spPr>
    </xdr:pic>
    <xdr:clientData/>
  </xdr:twoCellAnchor>
  <xdr:oneCellAnchor>
    <xdr:from>
      <xdr:col>0</xdr:col>
      <xdr:colOff>35717</xdr:colOff>
      <xdr:row>5</xdr:row>
      <xdr:rowOff>440531</xdr:rowOff>
    </xdr:from>
    <xdr:ext cx="4333872" cy="1702592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7" y="4672352"/>
          <a:ext cx="4333872" cy="1702592"/>
        </a:xfrm>
        <a:prstGeom prst="rect">
          <a:avLst/>
        </a:prstGeom>
      </xdr:spPr>
    </xdr:pic>
    <xdr:clientData/>
  </xdr:oneCellAnchor>
  <xdr:oneCellAnchor>
    <xdr:from>
      <xdr:col>0</xdr:col>
      <xdr:colOff>35717</xdr:colOff>
      <xdr:row>7</xdr:row>
      <xdr:rowOff>440531</xdr:rowOff>
    </xdr:from>
    <xdr:ext cx="4333872" cy="1702592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7" y="7203281"/>
          <a:ext cx="4333872" cy="1702592"/>
        </a:xfrm>
        <a:prstGeom prst="rect">
          <a:avLst/>
        </a:prstGeom>
      </xdr:spPr>
    </xdr:pic>
    <xdr:clientData/>
  </xdr:oneCellAnchor>
  <xdr:twoCellAnchor editAs="oneCell">
    <xdr:from>
      <xdr:col>0</xdr:col>
      <xdr:colOff>23813</xdr:colOff>
      <xdr:row>9</xdr:row>
      <xdr:rowOff>428627</xdr:rowOff>
    </xdr:from>
    <xdr:to>
      <xdr:col>0</xdr:col>
      <xdr:colOff>4357688</xdr:colOff>
      <xdr:row>10</xdr:row>
      <xdr:rowOff>869159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9691690"/>
          <a:ext cx="4333875" cy="170259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11</xdr:row>
      <xdr:rowOff>382701</xdr:rowOff>
    </xdr:from>
    <xdr:to>
      <xdr:col>0</xdr:col>
      <xdr:colOff>4369594</xdr:colOff>
      <xdr:row>12</xdr:row>
      <xdr:rowOff>819830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12207308"/>
          <a:ext cx="4333875" cy="1702593"/>
        </a:xfrm>
        <a:prstGeom prst="rect">
          <a:avLst/>
        </a:prstGeom>
      </xdr:spPr>
    </xdr:pic>
    <xdr:clientData/>
  </xdr:twoCellAnchor>
  <xdr:oneCellAnchor>
    <xdr:from>
      <xdr:col>0</xdr:col>
      <xdr:colOff>35719</xdr:colOff>
      <xdr:row>13</xdr:row>
      <xdr:rowOff>381000</xdr:rowOff>
    </xdr:from>
    <xdr:ext cx="4333875" cy="1702593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14736536"/>
          <a:ext cx="4333875" cy="170259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15</xdr:row>
      <xdr:rowOff>381000</xdr:rowOff>
    </xdr:from>
    <xdr:ext cx="4333875" cy="1702593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17267464"/>
          <a:ext cx="4333875" cy="1702593"/>
        </a:xfrm>
        <a:prstGeom prst="rect">
          <a:avLst/>
        </a:prstGeom>
      </xdr:spPr>
    </xdr:pic>
    <xdr:clientData/>
  </xdr:oneCellAnchor>
  <xdr:twoCellAnchor editAs="oneCell">
    <xdr:from>
      <xdr:col>0</xdr:col>
      <xdr:colOff>35721</xdr:colOff>
      <xdr:row>17</xdr:row>
      <xdr:rowOff>428625</xdr:rowOff>
    </xdr:from>
    <xdr:to>
      <xdr:col>0</xdr:col>
      <xdr:colOff>4357689</xdr:colOff>
      <xdr:row>18</xdr:row>
      <xdr:rowOff>864479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1" y="19788188"/>
          <a:ext cx="4321968" cy="169791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19</xdr:row>
      <xdr:rowOff>406513</xdr:rowOff>
    </xdr:from>
    <xdr:to>
      <xdr:col>0</xdr:col>
      <xdr:colOff>4369594</xdr:colOff>
      <xdr:row>20</xdr:row>
      <xdr:rowOff>848319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22354834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21</xdr:row>
      <xdr:rowOff>394608</xdr:rowOff>
    </xdr:from>
    <xdr:to>
      <xdr:col>0</xdr:col>
      <xdr:colOff>4369593</xdr:colOff>
      <xdr:row>22</xdr:row>
      <xdr:rowOff>836415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24873858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23</xdr:row>
      <xdr:rowOff>430326</xdr:rowOff>
    </xdr:from>
    <xdr:to>
      <xdr:col>0</xdr:col>
      <xdr:colOff>4369593</xdr:colOff>
      <xdr:row>24</xdr:row>
      <xdr:rowOff>872133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27440505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25</xdr:row>
      <xdr:rowOff>416719</xdr:rowOff>
    </xdr:from>
    <xdr:to>
      <xdr:col>0</xdr:col>
      <xdr:colOff>4369594</xdr:colOff>
      <xdr:row>26</xdr:row>
      <xdr:rowOff>861928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29872782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27</xdr:row>
      <xdr:rowOff>430326</xdr:rowOff>
    </xdr:from>
    <xdr:to>
      <xdr:col>0</xdr:col>
      <xdr:colOff>4369594</xdr:colOff>
      <xdr:row>28</xdr:row>
      <xdr:rowOff>872133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32502362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29</xdr:row>
      <xdr:rowOff>394608</xdr:rowOff>
    </xdr:from>
    <xdr:to>
      <xdr:col>0</xdr:col>
      <xdr:colOff>4369593</xdr:colOff>
      <xdr:row>30</xdr:row>
      <xdr:rowOff>836414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34997572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31</xdr:row>
      <xdr:rowOff>394608</xdr:rowOff>
    </xdr:from>
    <xdr:to>
      <xdr:col>0</xdr:col>
      <xdr:colOff>4369593</xdr:colOff>
      <xdr:row>32</xdr:row>
      <xdr:rowOff>836415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37528501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33</xdr:row>
      <xdr:rowOff>442232</xdr:rowOff>
    </xdr:from>
    <xdr:to>
      <xdr:col>0</xdr:col>
      <xdr:colOff>4345782</xdr:colOff>
      <xdr:row>34</xdr:row>
      <xdr:rowOff>865328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0107053"/>
          <a:ext cx="4298156" cy="168856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35</xdr:row>
      <xdr:rowOff>404813</xdr:rowOff>
    </xdr:from>
    <xdr:to>
      <xdr:col>0</xdr:col>
      <xdr:colOff>4369594</xdr:colOff>
      <xdr:row>36</xdr:row>
      <xdr:rowOff>850022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2481501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37</xdr:row>
      <xdr:rowOff>416718</xdr:rowOff>
    </xdr:from>
    <xdr:to>
      <xdr:col>0</xdr:col>
      <xdr:colOff>4369594</xdr:colOff>
      <xdr:row>38</xdr:row>
      <xdr:rowOff>861927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5017531"/>
          <a:ext cx="4345781" cy="1707271"/>
        </a:xfrm>
        <a:prstGeom prst="rect">
          <a:avLst/>
        </a:prstGeom>
      </xdr:spPr>
    </xdr:pic>
    <xdr:clientData/>
  </xdr:twoCellAnchor>
  <xdr:oneCellAnchor>
    <xdr:from>
      <xdr:col>0</xdr:col>
      <xdr:colOff>23813</xdr:colOff>
      <xdr:row>39</xdr:row>
      <xdr:rowOff>416718</xdr:rowOff>
    </xdr:from>
    <xdr:ext cx="4345781" cy="1707271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45017531"/>
          <a:ext cx="4345781" cy="1707271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</xdr:colOff>
      <xdr:row>41</xdr:row>
      <xdr:rowOff>392906</xdr:rowOff>
    </xdr:from>
    <xdr:to>
      <xdr:col>0</xdr:col>
      <xdr:colOff>4357687</xdr:colOff>
      <xdr:row>42</xdr:row>
      <xdr:rowOff>833438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50041969"/>
          <a:ext cx="4333875" cy="1702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43</xdr:row>
      <xdr:rowOff>428625</xdr:rowOff>
    </xdr:from>
    <xdr:to>
      <xdr:col>0</xdr:col>
      <xdr:colOff>4369593</xdr:colOff>
      <xdr:row>44</xdr:row>
      <xdr:rowOff>873834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52601813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23811</xdr:colOff>
      <xdr:row>45</xdr:row>
      <xdr:rowOff>392906</xdr:rowOff>
    </xdr:from>
    <xdr:to>
      <xdr:col>0</xdr:col>
      <xdr:colOff>4369592</xdr:colOff>
      <xdr:row>46</xdr:row>
      <xdr:rowOff>838115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1" y="55090219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47</xdr:row>
      <xdr:rowOff>416719</xdr:rowOff>
    </xdr:from>
    <xdr:to>
      <xdr:col>0</xdr:col>
      <xdr:colOff>4369593</xdr:colOff>
      <xdr:row>48</xdr:row>
      <xdr:rowOff>861928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57638157"/>
          <a:ext cx="4345781" cy="170727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49</xdr:row>
      <xdr:rowOff>404813</xdr:rowOff>
    </xdr:from>
    <xdr:to>
      <xdr:col>0</xdr:col>
      <xdr:colOff>4369594</xdr:colOff>
      <xdr:row>50</xdr:row>
      <xdr:rowOff>845345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60150376"/>
          <a:ext cx="4333875" cy="17025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42</xdr:row>
      <xdr:rowOff>0</xdr:rowOff>
    </xdr:from>
    <xdr:to>
      <xdr:col>0</xdr:col>
      <xdr:colOff>2381250</xdr:colOff>
      <xdr:row>42</xdr:row>
      <xdr:rowOff>0</xdr:rowOff>
    </xdr:to>
    <xdr:sp macro="" textlink="">
      <xdr:nvSpPr>
        <xdr:cNvPr id="41499" name="Picture 1" descr="Шеврон 1"/>
        <xdr:cNvSpPr>
          <a:spLocks noChangeAspect="1" noChangeArrowheads="1"/>
        </xdr:cNvSpPr>
      </xdr:nvSpPr>
      <xdr:spPr bwMode="auto">
        <a:xfrm>
          <a:off x="57150" y="758190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1500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1501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150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150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19050</xdr:colOff>
      <xdr:row>42</xdr:row>
      <xdr:rowOff>19050</xdr:rowOff>
    </xdr:to>
    <xdr:sp macro="" textlink="">
      <xdr:nvSpPr>
        <xdr:cNvPr id="29" name="Picture 10"/>
        <xdr:cNvSpPr>
          <a:spLocks noChangeAspect="1" noChangeArrowheads="1"/>
        </xdr:cNvSpPr>
      </xdr:nvSpPr>
      <xdr:spPr bwMode="auto">
        <a:xfrm>
          <a:off x="0" y="679418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19050</xdr:colOff>
      <xdr:row>42</xdr:row>
      <xdr:rowOff>19050</xdr:rowOff>
    </xdr:to>
    <xdr:sp macro="" textlink="">
      <xdr:nvSpPr>
        <xdr:cNvPr id="33" name="Picture 11"/>
        <xdr:cNvSpPr>
          <a:spLocks noChangeAspect="1" noChangeArrowheads="1"/>
        </xdr:cNvSpPr>
      </xdr:nvSpPr>
      <xdr:spPr bwMode="auto">
        <a:xfrm>
          <a:off x="0" y="67941825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59534</xdr:colOff>
      <xdr:row>3</xdr:row>
      <xdr:rowOff>36522</xdr:rowOff>
    </xdr:from>
    <xdr:to>
      <xdr:col>0</xdr:col>
      <xdr:colOff>4345781</xdr:colOff>
      <xdr:row>5</xdr:row>
      <xdr:rowOff>1116684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4" y="1737415"/>
          <a:ext cx="4286247" cy="3366162"/>
        </a:xfrm>
        <a:prstGeom prst="rect">
          <a:avLst/>
        </a:prstGeom>
      </xdr:spPr>
    </xdr:pic>
    <xdr:clientData/>
  </xdr:twoCellAnchor>
  <xdr:twoCellAnchor editAs="oneCell">
    <xdr:from>
      <xdr:col>0</xdr:col>
      <xdr:colOff>35721</xdr:colOff>
      <xdr:row>9</xdr:row>
      <xdr:rowOff>36521</xdr:rowOff>
    </xdr:from>
    <xdr:to>
      <xdr:col>0</xdr:col>
      <xdr:colOff>4319806</xdr:colOff>
      <xdr:row>11</xdr:row>
      <xdr:rowOff>1114985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1" y="8595414"/>
          <a:ext cx="4284085" cy="33644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18</xdr:row>
      <xdr:rowOff>24616</xdr:rowOff>
    </xdr:from>
    <xdr:to>
      <xdr:col>0</xdr:col>
      <xdr:colOff>4336039</xdr:colOff>
      <xdr:row>20</xdr:row>
      <xdr:rowOff>1106479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5441509"/>
          <a:ext cx="4288413" cy="336786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23</xdr:row>
      <xdr:rowOff>1136998</xdr:rowOff>
    </xdr:from>
    <xdr:to>
      <xdr:col>0</xdr:col>
      <xdr:colOff>4347945</xdr:colOff>
      <xdr:row>26</xdr:row>
      <xdr:rowOff>1075861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22268891"/>
          <a:ext cx="4288413" cy="336786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30</xdr:row>
      <xdr:rowOff>36520</xdr:rowOff>
    </xdr:from>
    <xdr:to>
      <xdr:col>0</xdr:col>
      <xdr:colOff>4333874</xdr:colOff>
      <xdr:row>32</xdr:row>
      <xdr:rowOff>1116683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9169413"/>
          <a:ext cx="4286248" cy="336616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36</xdr:row>
      <xdr:rowOff>24614</xdr:rowOff>
    </xdr:from>
    <xdr:to>
      <xdr:col>0</xdr:col>
      <xdr:colOff>4345780</xdr:colOff>
      <xdr:row>38</xdr:row>
      <xdr:rowOff>1104777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36015507"/>
          <a:ext cx="4286248" cy="3366163"/>
        </a:xfrm>
        <a:prstGeom prst="rect">
          <a:avLst/>
        </a:prstGeom>
      </xdr:spPr>
    </xdr:pic>
    <xdr:clientData/>
  </xdr:twoCellAnchor>
  <xdr:oneCellAnchor>
    <xdr:from>
      <xdr:col>0</xdr:col>
      <xdr:colOff>59534</xdr:colOff>
      <xdr:row>6</xdr:row>
      <xdr:rowOff>36522</xdr:rowOff>
    </xdr:from>
    <xdr:ext cx="4286247" cy="336616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4" y="1737415"/>
          <a:ext cx="4286247" cy="3366162"/>
        </a:xfrm>
        <a:prstGeom prst="rect">
          <a:avLst/>
        </a:prstGeom>
      </xdr:spPr>
    </xdr:pic>
    <xdr:clientData/>
  </xdr:oneCellAnchor>
  <xdr:oneCellAnchor>
    <xdr:from>
      <xdr:col>0</xdr:col>
      <xdr:colOff>35721</xdr:colOff>
      <xdr:row>15</xdr:row>
      <xdr:rowOff>36521</xdr:rowOff>
    </xdr:from>
    <xdr:ext cx="4284085" cy="336446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1" y="8595414"/>
          <a:ext cx="4284085" cy="3364464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21</xdr:row>
      <xdr:rowOff>24616</xdr:rowOff>
    </xdr:from>
    <xdr:ext cx="4288413" cy="3367863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5441509"/>
          <a:ext cx="4288413" cy="3367863"/>
        </a:xfrm>
        <a:prstGeom prst="rect">
          <a:avLst/>
        </a:prstGeom>
      </xdr:spPr>
    </xdr:pic>
    <xdr:clientData/>
  </xdr:oneCellAnchor>
  <xdr:oneCellAnchor>
    <xdr:from>
      <xdr:col>0</xdr:col>
      <xdr:colOff>59532</xdr:colOff>
      <xdr:row>26</xdr:row>
      <xdr:rowOff>1136998</xdr:rowOff>
    </xdr:from>
    <xdr:ext cx="4288413" cy="3367863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22268891"/>
          <a:ext cx="4288413" cy="3367863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33</xdr:row>
      <xdr:rowOff>36520</xdr:rowOff>
    </xdr:from>
    <xdr:ext cx="4286248" cy="3366163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9169413"/>
          <a:ext cx="4286248" cy="3366163"/>
        </a:xfrm>
        <a:prstGeom prst="rect">
          <a:avLst/>
        </a:prstGeom>
      </xdr:spPr>
    </xdr:pic>
    <xdr:clientData/>
  </xdr:oneCellAnchor>
  <xdr:oneCellAnchor>
    <xdr:from>
      <xdr:col>0</xdr:col>
      <xdr:colOff>59532</xdr:colOff>
      <xdr:row>39</xdr:row>
      <xdr:rowOff>24614</xdr:rowOff>
    </xdr:from>
    <xdr:ext cx="4286248" cy="3366163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36015507"/>
          <a:ext cx="4286248" cy="3366163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13</xdr:row>
      <xdr:rowOff>619125</xdr:rowOff>
    </xdr:from>
    <xdr:ext cx="2466975" cy="0"/>
    <xdr:pic>
      <xdr:nvPicPr>
        <xdr:cNvPr id="22" name="Picture 4" descr="SVT-Str-Ш-35-12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32000"/>
          <a:ext cx="2466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40821</xdr:colOff>
      <xdr:row>12</xdr:row>
      <xdr:rowOff>27214</xdr:rowOff>
    </xdr:from>
    <xdr:to>
      <xdr:col>0</xdr:col>
      <xdr:colOff>4353049</xdr:colOff>
      <xdr:row>14</xdr:row>
      <xdr:rowOff>1129392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12015107"/>
          <a:ext cx="4312228" cy="33881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0</xdr:rowOff>
    </xdr:from>
    <xdr:to>
      <xdr:col>0</xdr:col>
      <xdr:colOff>2381250</xdr:colOff>
      <xdr:row>5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46272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19050</xdr:colOff>
      <xdr:row>5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19050</xdr:colOff>
      <xdr:row>5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54431</xdr:colOff>
      <xdr:row>3</xdr:row>
      <xdr:rowOff>28769</xdr:rowOff>
    </xdr:from>
    <xdr:ext cx="4292929" cy="337301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1729662"/>
          <a:ext cx="4292929" cy="3373015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127000</xdr:colOff>
      <xdr:row>4</xdr:row>
      <xdr:rowOff>15876</xdr:rowOff>
    </xdr:from>
    <xdr:to>
      <xdr:col>0</xdr:col>
      <xdr:colOff>4365625</xdr:colOff>
      <xdr:row>4</xdr:row>
      <xdr:rowOff>3346224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143501"/>
          <a:ext cx="4238625" cy="33303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30</xdr:row>
      <xdr:rowOff>0</xdr:rowOff>
    </xdr:from>
    <xdr:to>
      <xdr:col>0</xdr:col>
      <xdr:colOff>2381250</xdr:colOff>
      <xdr:row>30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46272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19050</xdr:colOff>
      <xdr:row>30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19050</xdr:colOff>
      <xdr:row>30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46272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190500</xdr:colOff>
      <xdr:row>3</xdr:row>
      <xdr:rowOff>27216</xdr:rowOff>
    </xdr:from>
    <xdr:to>
      <xdr:col>0</xdr:col>
      <xdr:colOff>4231821</xdr:colOff>
      <xdr:row>5</xdr:row>
      <xdr:rowOff>1108984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24398"/>
          <a:ext cx="4041321" cy="3367768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18</xdr:row>
      <xdr:rowOff>27215</xdr:rowOff>
    </xdr:from>
    <xdr:to>
      <xdr:col>0</xdr:col>
      <xdr:colOff>4218214</xdr:colOff>
      <xdr:row>20</xdr:row>
      <xdr:rowOff>1108982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8869397"/>
          <a:ext cx="4041321" cy="3367767"/>
        </a:xfrm>
        <a:prstGeom prst="rect">
          <a:avLst/>
        </a:prstGeom>
      </xdr:spPr>
    </xdr:pic>
    <xdr:clientData/>
  </xdr:twoCellAnchor>
  <xdr:oneCellAnchor>
    <xdr:from>
      <xdr:col>0</xdr:col>
      <xdr:colOff>176893</xdr:colOff>
      <xdr:row>27</xdr:row>
      <xdr:rowOff>27215</xdr:rowOff>
    </xdr:from>
    <xdr:ext cx="4041321" cy="3367767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29156397"/>
          <a:ext cx="4041321" cy="336776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9</xdr:row>
      <xdr:rowOff>27216</xdr:rowOff>
    </xdr:from>
    <xdr:ext cx="4041321" cy="3367768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82398"/>
          <a:ext cx="4041321" cy="3367768"/>
        </a:xfrm>
        <a:prstGeom prst="rect">
          <a:avLst/>
        </a:prstGeom>
      </xdr:spPr>
    </xdr:pic>
    <xdr:clientData/>
  </xdr:oneCellAnchor>
  <xdr:oneCellAnchor>
    <xdr:from>
      <xdr:col>0</xdr:col>
      <xdr:colOff>176893</xdr:colOff>
      <xdr:row>12</xdr:row>
      <xdr:rowOff>27215</xdr:rowOff>
    </xdr:from>
    <xdr:ext cx="4041321" cy="336776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011397"/>
          <a:ext cx="4041321" cy="3367767"/>
        </a:xfrm>
        <a:prstGeom prst="rect">
          <a:avLst/>
        </a:prstGeom>
      </xdr:spPr>
    </xdr:pic>
    <xdr:clientData/>
  </xdr:oneCellAnchor>
  <xdr:oneCellAnchor>
    <xdr:from>
      <xdr:col>0</xdr:col>
      <xdr:colOff>176893</xdr:colOff>
      <xdr:row>21</xdr:row>
      <xdr:rowOff>27215</xdr:rowOff>
    </xdr:from>
    <xdr:ext cx="4041321" cy="3367767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22298397"/>
          <a:ext cx="4041321" cy="336776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6</xdr:row>
      <xdr:rowOff>27216</xdr:rowOff>
    </xdr:from>
    <xdr:ext cx="4041321" cy="3367767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153398"/>
          <a:ext cx="4041321" cy="3367767"/>
        </a:xfrm>
        <a:prstGeom prst="rect">
          <a:avLst/>
        </a:prstGeom>
      </xdr:spPr>
    </xdr:pic>
    <xdr:clientData/>
  </xdr:oneCellAnchor>
  <xdr:oneCellAnchor>
    <xdr:from>
      <xdr:col>0</xdr:col>
      <xdr:colOff>176893</xdr:colOff>
      <xdr:row>15</xdr:row>
      <xdr:rowOff>27215</xdr:rowOff>
    </xdr:from>
    <xdr:ext cx="4041321" cy="336776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5440397"/>
          <a:ext cx="4041321" cy="3367767"/>
        </a:xfrm>
        <a:prstGeom prst="rect">
          <a:avLst/>
        </a:prstGeom>
      </xdr:spPr>
    </xdr:pic>
    <xdr:clientData/>
  </xdr:oneCellAnchor>
  <xdr:oneCellAnchor>
    <xdr:from>
      <xdr:col>0</xdr:col>
      <xdr:colOff>176893</xdr:colOff>
      <xdr:row>24</xdr:row>
      <xdr:rowOff>27215</xdr:rowOff>
    </xdr:from>
    <xdr:ext cx="4041321" cy="3367767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25727397"/>
          <a:ext cx="4041321" cy="336776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15</xdr:row>
      <xdr:rowOff>0</xdr:rowOff>
    </xdr:from>
    <xdr:to>
      <xdr:col>0</xdr:col>
      <xdr:colOff>2381250</xdr:colOff>
      <xdr:row>15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32556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19050</xdr:colOff>
      <xdr:row>15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32556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19050</xdr:colOff>
      <xdr:row>15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32556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108857</xdr:colOff>
      <xdr:row>3</xdr:row>
      <xdr:rowOff>0</xdr:rowOff>
    </xdr:from>
    <xdr:to>
      <xdr:col>0</xdr:col>
      <xdr:colOff>4204607</xdr:colOff>
      <xdr:row>5</xdr:row>
      <xdr:rowOff>1127124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700893"/>
          <a:ext cx="4095750" cy="341312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6</xdr:row>
      <xdr:rowOff>11339</xdr:rowOff>
    </xdr:from>
    <xdr:to>
      <xdr:col>0</xdr:col>
      <xdr:colOff>4231820</xdr:colOff>
      <xdr:row>8</xdr:row>
      <xdr:rowOff>1127124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5141232"/>
          <a:ext cx="4082142" cy="340178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9</xdr:row>
      <xdr:rowOff>13607</xdr:rowOff>
    </xdr:from>
    <xdr:to>
      <xdr:col>0</xdr:col>
      <xdr:colOff>4231821</xdr:colOff>
      <xdr:row>11</xdr:row>
      <xdr:rowOff>1129391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8572500"/>
          <a:ext cx="4082142" cy="340178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12</xdr:row>
      <xdr:rowOff>13607</xdr:rowOff>
    </xdr:from>
    <xdr:to>
      <xdr:col>0</xdr:col>
      <xdr:colOff>4245427</xdr:colOff>
      <xdr:row>14</xdr:row>
      <xdr:rowOff>1129391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12001500"/>
          <a:ext cx="4082140" cy="34017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0</xdr:rowOff>
    </xdr:from>
    <xdr:to>
      <xdr:col>0</xdr:col>
      <xdr:colOff>2381250</xdr:colOff>
      <xdr:row>4</xdr:row>
      <xdr:rowOff>0</xdr:rowOff>
    </xdr:to>
    <xdr:sp macro="" textlink="">
      <xdr:nvSpPr>
        <xdr:cNvPr id="2" name="Picture 1" descr="Шеврон 1"/>
        <xdr:cNvSpPr>
          <a:spLocks noChangeAspect="1" noChangeArrowheads="1"/>
        </xdr:cNvSpPr>
      </xdr:nvSpPr>
      <xdr:spPr bwMode="auto">
        <a:xfrm>
          <a:off x="57150" y="15411450"/>
          <a:ext cx="23241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3" name="Picture 2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4" name="Picture 3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5" name="Picture 4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19050</xdr:colOff>
      <xdr:row>0</xdr:row>
      <xdr:rowOff>19050</xdr:rowOff>
    </xdr:to>
    <xdr:sp macro="" textlink="">
      <xdr:nvSpPr>
        <xdr:cNvPr id="6" name="Picture 5"/>
        <xdr:cNvSpPr>
          <a:spLocks noChangeAspect="1" noChangeArrowheads="1"/>
        </xdr:cNvSpPr>
      </xdr:nvSpPr>
      <xdr:spPr bwMode="auto">
        <a:xfrm>
          <a:off x="0" y="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19050</xdr:colOff>
      <xdr:row>4</xdr:row>
      <xdr:rowOff>19050</xdr:rowOff>
    </xdr:to>
    <xdr:sp macro="" textlink="">
      <xdr:nvSpPr>
        <xdr:cNvPr id="7" name="Picture 10"/>
        <xdr:cNvSpPr>
          <a:spLocks noChangeAspect="1" noChangeArrowheads="1"/>
        </xdr:cNvSpPr>
      </xdr:nvSpPr>
      <xdr:spPr bwMode="auto">
        <a:xfrm>
          <a:off x="0" y="15411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19050</xdr:colOff>
      <xdr:row>4</xdr:row>
      <xdr:rowOff>19050</xdr:rowOff>
    </xdr:to>
    <xdr:sp macro="" textlink="">
      <xdr:nvSpPr>
        <xdr:cNvPr id="8" name="Picture 11"/>
        <xdr:cNvSpPr>
          <a:spLocks noChangeAspect="1" noChangeArrowheads="1"/>
        </xdr:cNvSpPr>
      </xdr:nvSpPr>
      <xdr:spPr bwMode="auto">
        <a:xfrm>
          <a:off x="0" y="15411450"/>
          <a:ext cx="19050" cy="19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108857</xdr:colOff>
      <xdr:row>3</xdr:row>
      <xdr:rowOff>0</xdr:rowOff>
    </xdr:from>
    <xdr:to>
      <xdr:col>0</xdr:col>
      <xdr:colOff>4204607</xdr:colOff>
      <xdr:row>3</xdr:row>
      <xdr:rowOff>3413124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700893"/>
          <a:ext cx="4095750" cy="3413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  <outlinePr summaryBelow="0" summaryRight="0"/>
    <pageSetUpPr fitToPage="1"/>
  </sheetPr>
  <dimension ref="A1:Z107"/>
  <sheetViews>
    <sheetView tabSelected="1" view="pageBreakPreview" zoomScale="50" zoomScaleNormal="65" zoomScaleSheetLayoutView="50" zoomScalePageLayoutView="25" workbookViewId="0">
      <pane xSplit="2" ySplit="3" topLeftCell="C4" activePane="bottomRight" state="frozen"/>
      <selection activeCell="Q6" sqref="Q6"/>
      <selection pane="topRight" activeCell="Q6" sqref="Q6"/>
      <selection pane="bottomLeft" activeCell="Q6" sqref="Q6"/>
      <selection pane="bottomRight" activeCell="Y4" sqref="Y4"/>
    </sheetView>
  </sheetViews>
  <sheetFormatPr defaultColWidth="9.109375" defaultRowHeight="15" outlineLevelCol="1"/>
  <cols>
    <col min="1" max="1" width="65.6640625" style="5" customWidth="1"/>
    <col min="2" max="2" width="32.6640625" style="8" customWidth="1"/>
    <col min="3" max="3" width="20.109375" style="8" customWidth="1"/>
    <col min="4" max="4" width="25.6640625" style="5" customWidth="1"/>
    <col min="5" max="5" width="40.6640625" style="5" customWidth="1" collapsed="1"/>
    <col min="6" max="6" width="16.6640625" style="5" hidden="1" customWidth="1" outlineLevel="1"/>
    <col min="7" max="7" width="13.33203125" style="5" hidden="1" customWidth="1" outlineLevel="1"/>
    <col min="8" max="8" width="22.88671875" style="5" hidden="1" customWidth="1" outlineLevel="1"/>
    <col min="9" max="9" width="14.6640625" style="5" hidden="1" customWidth="1" outlineLevel="1"/>
    <col min="10" max="10" width="6.6640625" style="5" hidden="1" customWidth="1" outlineLevel="1"/>
    <col min="11" max="11" width="13.33203125" style="5" hidden="1" customWidth="1" outlineLevel="1"/>
    <col min="12" max="12" width="14.44140625" style="5" hidden="1" customWidth="1" outlineLevel="1"/>
    <col min="13" max="13" width="15.109375" style="5" hidden="1" customWidth="1" outlineLevel="1"/>
    <col min="14" max="14" width="9" style="5" hidden="1" customWidth="1" outlineLevel="1"/>
    <col min="15" max="15" width="12.6640625" style="5" customWidth="1"/>
    <col min="16" max="16" width="14.6640625" style="5" customWidth="1"/>
    <col min="17" max="17" width="11.44140625" style="5" customWidth="1"/>
    <col min="18" max="18" width="13.6640625" style="5" customWidth="1"/>
    <col min="19" max="19" width="13.5546875" style="5" customWidth="1"/>
    <col min="20" max="20" width="14.6640625" style="5" customWidth="1"/>
    <col min="21" max="21" width="19.77734375" style="5" customWidth="1"/>
    <col min="22" max="16384" width="9.109375" style="5"/>
  </cols>
  <sheetData>
    <row r="1" spans="1:21" ht="30">
      <c r="A1" s="357" t="s">
        <v>514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</row>
    <row r="2" spans="1:21" s="107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2"/>
      <c r="T2" s="363" t="s">
        <v>4</v>
      </c>
      <c r="U2" s="404" t="s">
        <v>583</v>
      </c>
    </row>
    <row r="3" spans="1:21" s="107" customFormat="1" ht="77.25" customHeight="1" thickBot="1">
      <c r="A3" s="359"/>
      <c r="B3" s="359"/>
      <c r="C3" s="359"/>
      <c r="D3" s="359"/>
      <c r="E3" s="229" t="s">
        <v>21</v>
      </c>
      <c r="F3" s="229" t="s">
        <v>14</v>
      </c>
      <c r="G3" s="229" t="s">
        <v>6</v>
      </c>
      <c r="H3" s="229" t="s">
        <v>7</v>
      </c>
      <c r="I3" s="229" t="s">
        <v>13</v>
      </c>
      <c r="J3" s="229" t="s">
        <v>12</v>
      </c>
      <c r="K3" s="229" t="s">
        <v>11</v>
      </c>
      <c r="L3" s="229" t="s">
        <v>9</v>
      </c>
      <c r="M3" s="229" t="s">
        <v>16</v>
      </c>
      <c r="N3" s="229" t="s">
        <v>17</v>
      </c>
      <c r="O3" s="229" t="s">
        <v>2</v>
      </c>
      <c r="P3" s="229" t="s">
        <v>35</v>
      </c>
      <c r="Q3" s="229" t="s">
        <v>37</v>
      </c>
      <c r="R3" s="229" t="s">
        <v>29</v>
      </c>
      <c r="S3" s="229" t="s">
        <v>3</v>
      </c>
      <c r="T3" s="364"/>
      <c r="U3" s="405"/>
    </row>
    <row r="4" spans="1:21" ht="39.9" customHeight="1" thickBot="1">
      <c r="A4" s="335" t="s">
        <v>516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</row>
    <row r="5" spans="1:21" ht="69.900000000000006" customHeight="1">
      <c r="A5" s="354"/>
      <c r="B5" s="17" t="s">
        <v>444</v>
      </c>
      <c r="C5" s="185">
        <f>VLOOKUP(B5,Данные!A:Z,26,FALSE)</f>
        <v>9001</v>
      </c>
      <c r="D5" s="342" t="s">
        <v>515</v>
      </c>
      <c r="E5" s="344" t="str">
        <f>CONCATENATE(CONCATENATE($F$3,": ",$F5,CHAR(10),$H$3,": ",$H5,CHAR(10),$I$3,": ",$I5,CHAR(10),$J$3,": ",$J5,CHAR(10),$K$3,": ",$K5,CHAR(10),$L$3,": ",$L5,CHAR(10)),"*Цветовая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5" s="226" t="str">
        <f>VLOOKUP($B5,Данные!$A$1:$U$1006,6,FALSE)</f>
        <v>Д (косинусная)</v>
      </c>
      <c r="G5" s="226">
        <f>VLOOKUP($B5,Данные!$A$1:$U$1006,8,FALSE)</f>
        <v>0</v>
      </c>
      <c r="H5" s="226" t="str">
        <f>VLOOKUP($B5,Данные!$A$1:$U$1006,12,FALSE)</f>
        <v>Экструдированный алюминиевый профиль (анодированный), прозрачное минеральное стекло**</v>
      </c>
      <c r="I5" s="226" t="str">
        <f>VLOOKUP($B5,Данные!$A$1:$U$1006,4,FALSE)</f>
        <v>176-264В AС</v>
      </c>
      <c r="J5" s="226">
        <f>VLOOKUP($B5,Данные!$A$1:$U$1006,5,FALSE)</f>
        <v>0.95</v>
      </c>
      <c r="K5" s="226" t="str">
        <f>VLOOKUP($B5,Данные!$A$1:$U$1006,13,FALSE)</f>
        <v xml:space="preserve"> -60°...+50° С</v>
      </c>
      <c r="L5" s="226" t="str">
        <f>VLOOKUP($B5,Данные!$A$1:$U$1006,14,FALSE)</f>
        <v>100 000 ч.</v>
      </c>
      <c r="M5" s="226" t="str">
        <f>VLOOKUP($B5,Данные!$A$1:$U$1006,10,FALSE)</f>
        <v>224х103х147</v>
      </c>
      <c r="N5" s="226">
        <f>VLOOKUP($B5,Данные!$A$1:$U$1006,11,FALSE)</f>
        <v>0</v>
      </c>
      <c r="O5" s="91" t="str">
        <f>VLOOKUP($B5,Данные!$A$1:$U$1006,9,FALSE)</f>
        <v>-</v>
      </c>
      <c r="P5" s="33">
        <f>VLOOKUP($B5,Данные!$A$1:$U$1006,2,FALSE)</f>
        <v>32</v>
      </c>
      <c r="Q5" s="223">
        <f>VLOOKUP($B5,Данные!$A$1:$U$1006,3,FALSE)</f>
        <v>4000</v>
      </c>
      <c r="R5" s="99" t="str">
        <f>VLOOKUP($B5,Данные!$A$1:$U$1006,15,FALSE)</f>
        <v>4000К</v>
      </c>
      <c r="S5" s="88">
        <f>VLOOKUP($B5,Данные!$A$1:$U$1006,7,FALSE)</f>
        <v>67</v>
      </c>
      <c r="T5" s="223" t="str">
        <f>VLOOKUP($B5,Данные!$A$1:$U$1006,16,FALSE)</f>
        <v>3 года</v>
      </c>
      <c r="U5" s="406">
        <v>2075</v>
      </c>
    </row>
    <row r="6" spans="1:21" ht="69.900000000000006" customHeight="1">
      <c r="A6" s="355"/>
      <c r="B6" s="18" t="s">
        <v>445</v>
      </c>
      <c r="C6" s="186">
        <f>VLOOKUP(B6,Данные!A:Z,26,FALSE)</f>
        <v>9007</v>
      </c>
      <c r="D6" s="337"/>
      <c r="E6" s="338" t="str">
        <f>CONCATENATE(CONCATENATE($F$3,": ",$F6,CHAR(10),$G$3,": ",$G6,CHAR(10),$H$3,": ",$H6,CHAR(10),$I$3,": ",$I6,CHAR(10),$J$3,": ",$J6,CHAR(10),$K$3,": ",$K6,CHAR(10),$L$3,": ",$L6,CHAR(10)),CONCATENATE($M$3,": ",$M6,CHAR(10),$N$3,": ",$N6))</f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274х103х147
Вес, кг: 0</v>
      </c>
      <c r="F6" s="227" t="str">
        <f>VLOOKUP($B6,Данные!$A$1:$U$1006,6,FALSE)</f>
        <v>Д (косинусная)</v>
      </c>
      <c r="G6" s="227">
        <f>VLOOKUP($B6,Данные!$A$1:$U$1006,8,FALSE)</f>
        <v>0</v>
      </c>
      <c r="H6" s="227" t="str">
        <f>VLOOKUP($B6,Данные!$A$1:$U$1006,12,FALSE)</f>
        <v>Экструдированный алюминиевый профиль (анодированный), прозрачное минеральное стекло**</v>
      </c>
      <c r="I6" s="227" t="str">
        <f>VLOOKUP($B6,Данные!$A$1:$U$1006,4,FALSE)</f>
        <v>176-264В AС</v>
      </c>
      <c r="J6" s="227">
        <f>VLOOKUP($B6,Данные!$A$1:$U$1006,5,FALSE)</f>
        <v>0.95</v>
      </c>
      <c r="K6" s="227" t="str">
        <f>VLOOKUP($B6,Данные!$A$1:$U$1006,13,FALSE)</f>
        <v xml:space="preserve"> -60°...+50° С</v>
      </c>
      <c r="L6" s="227" t="str">
        <f>VLOOKUP($B6,Данные!$A$1:$U$1006,14,FALSE)</f>
        <v>100 000 ч.</v>
      </c>
      <c r="M6" s="227" t="str">
        <f>VLOOKUP($B6,Данные!$A$1:$U$1006,10,FALSE)</f>
        <v>274х103х147</v>
      </c>
      <c r="N6" s="227">
        <f>VLOOKUP($B6,Данные!$A$1:$U$1006,11,FALSE)</f>
        <v>0</v>
      </c>
      <c r="O6" s="92" t="str">
        <f>VLOOKUP($B6,Данные!$A$1:$U$1006,9,FALSE)</f>
        <v>-</v>
      </c>
      <c r="P6" s="34">
        <f>VLOOKUP($B6,Данные!$A$1:$U$1006,2,FALSE)</f>
        <v>48</v>
      </c>
      <c r="Q6" s="224">
        <f>VLOOKUP($B6,Данные!$A$1:$U$1006,3,FALSE)</f>
        <v>6000</v>
      </c>
      <c r="R6" s="89" t="str">
        <f>VLOOKUP($B6,Данные!$A$1:$U$1006,15,FALSE)</f>
        <v>4000К</v>
      </c>
      <c r="S6" s="89">
        <f>VLOOKUP($B6,Данные!$A$1:$U$1006,7,FALSE)</f>
        <v>67</v>
      </c>
      <c r="T6" s="224" t="str">
        <f>VLOOKUP($B6,Данные!$A$1:$U$1006,16,FALSE)</f>
        <v>3 года</v>
      </c>
      <c r="U6" s="407">
        <v>2505</v>
      </c>
    </row>
    <row r="7" spans="1:21" ht="69.900000000000006" customHeight="1">
      <c r="A7" s="355"/>
      <c r="B7" s="18" t="s">
        <v>446</v>
      </c>
      <c r="C7" s="186">
        <f>VLOOKUP(B7,Данные!A:Z,26,FALSE)</f>
        <v>9013</v>
      </c>
      <c r="D7" s="337"/>
      <c r="E7" s="338"/>
      <c r="F7" s="227" t="str">
        <f>VLOOKUP($B7,Данные!$A$1:$U$1006,6,FALSE)</f>
        <v>Д (косинусная)</v>
      </c>
      <c r="G7" s="227">
        <f>VLOOKUP($B7,Данные!$A$1:$U$1006,8,FALSE)</f>
        <v>0</v>
      </c>
      <c r="H7" s="227" t="str">
        <f>VLOOKUP($B7,Данные!$A$1:$U$1006,12,FALSE)</f>
        <v>Экструдированный алюминиевый профиль (анодированный), прозрачное минеральное стекло**</v>
      </c>
      <c r="I7" s="227" t="str">
        <f>VLOOKUP($B7,Данные!$A$1:$U$1006,4,FALSE)</f>
        <v>176-264В AС</v>
      </c>
      <c r="J7" s="227">
        <f>VLOOKUP($B7,Данные!$A$1:$U$1006,5,FALSE)</f>
        <v>0.95</v>
      </c>
      <c r="K7" s="227" t="str">
        <f>VLOOKUP($B7,Данные!$A$1:$U$1006,13,FALSE)</f>
        <v xml:space="preserve"> -60°...+50° С</v>
      </c>
      <c r="L7" s="227" t="str">
        <f>VLOOKUP($B7,Данные!$A$1:$U$1006,14,FALSE)</f>
        <v>100 000 ч.</v>
      </c>
      <c r="M7" s="227" t="str">
        <f>VLOOKUP($B7,Данные!$A$1:$U$1006,10,FALSE)</f>
        <v>324х103х147</v>
      </c>
      <c r="N7" s="227">
        <f>VLOOKUP($B7,Данные!$A$1:$U$1006,11,FALSE)</f>
        <v>0</v>
      </c>
      <c r="O7" s="92" t="str">
        <f>VLOOKUP($B7,Данные!$A$1:$U$1006,9,FALSE)</f>
        <v>-</v>
      </c>
      <c r="P7" s="34">
        <f>VLOOKUP($B7,Данные!$A$1:$U$1006,2,FALSE)</f>
        <v>62</v>
      </c>
      <c r="Q7" s="224">
        <f>VLOOKUP($B7,Данные!$A$1:$U$1006,3,FALSE)</f>
        <v>7750</v>
      </c>
      <c r="R7" s="89" t="str">
        <f>VLOOKUP($B7,Данные!$A$1:$U$1006,15,FALSE)</f>
        <v>4000К</v>
      </c>
      <c r="S7" s="89">
        <f>VLOOKUP($B7,Данные!$A$1:$U$1006,7,FALSE)</f>
        <v>67</v>
      </c>
      <c r="T7" s="224" t="str">
        <f>VLOOKUP($B7,Данные!$A$1:$U$1006,16,FALSE)</f>
        <v>3 года</v>
      </c>
      <c r="U7" s="407">
        <v>2860</v>
      </c>
    </row>
    <row r="8" spans="1:21" ht="69.900000000000006" customHeight="1">
      <c r="A8" s="355"/>
      <c r="B8" s="18" t="s">
        <v>447</v>
      </c>
      <c r="C8" s="186">
        <f>VLOOKUP(B8,Данные!A:Z,26,FALSE)</f>
        <v>9019</v>
      </c>
      <c r="D8" s="337"/>
      <c r="E8" s="338"/>
      <c r="F8" s="227" t="str">
        <f>VLOOKUP($B8,Данные!$A$1:$U$1006,6,FALSE)</f>
        <v>Д (косинусная)</v>
      </c>
      <c r="G8" s="227">
        <f>VLOOKUP($B8,Данные!$A$1:$U$1006,8,FALSE)</f>
        <v>0</v>
      </c>
      <c r="H8" s="227" t="str">
        <f>VLOOKUP($B8,Данные!$A$1:$U$1006,12,FALSE)</f>
        <v>Экструдированный алюминиевый профиль (анодированный), прозрачное минеральное стекло**</v>
      </c>
      <c r="I8" s="227" t="str">
        <f>VLOOKUP($B8,Данные!$A$1:$U$1006,4,FALSE)</f>
        <v>176-264В AС</v>
      </c>
      <c r="J8" s="227">
        <f>VLOOKUP($B8,Данные!$A$1:$U$1006,5,FALSE)</f>
        <v>0.95</v>
      </c>
      <c r="K8" s="227" t="str">
        <f>VLOOKUP($B8,Данные!$A$1:$U$1006,13,FALSE)</f>
        <v xml:space="preserve"> -60°...+50° С</v>
      </c>
      <c r="L8" s="227" t="str">
        <f>VLOOKUP($B8,Данные!$A$1:$U$1006,14,FALSE)</f>
        <v>100 000 ч.</v>
      </c>
      <c r="M8" s="227" t="str">
        <f>VLOOKUP($B8,Данные!$A$1:$U$1006,10,FALSE)</f>
        <v>464х103х147</v>
      </c>
      <c r="N8" s="227">
        <f>VLOOKUP($B8,Данные!$A$1:$U$1006,11,FALSE)</f>
        <v>0</v>
      </c>
      <c r="O8" s="92" t="str">
        <f>VLOOKUP($B8,Данные!$A$1:$U$1006,9,FALSE)</f>
        <v>-</v>
      </c>
      <c r="P8" s="34">
        <f>VLOOKUP($B8,Данные!$A$1:$U$1006,2,FALSE)</f>
        <v>80</v>
      </c>
      <c r="Q8" s="224">
        <f>VLOOKUP($B8,Данные!$A$1:$U$1006,3,FALSE)</f>
        <v>10000</v>
      </c>
      <c r="R8" s="89" t="str">
        <f>VLOOKUP($B8,Данные!$A$1:$U$1006,15,FALSE)</f>
        <v>4000К</v>
      </c>
      <c r="S8" s="89">
        <f>VLOOKUP($B8,Данные!$A$1:$U$1006,7,FALSE)</f>
        <v>67</v>
      </c>
      <c r="T8" s="224" t="str">
        <f>VLOOKUP($B8,Данные!$A$1:$U$1006,16,FALSE)</f>
        <v>3 года</v>
      </c>
      <c r="U8" s="407">
        <v>4220</v>
      </c>
    </row>
    <row r="9" spans="1:21" ht="69.900000000000006" customHeight="1">
      <c r="A9" s="355"/>
      <c r="B9" s="18" t="s">
        <v>448</v>
      </c>
      <c r="C9" s="186">
        <f>VLOOKUP(B9,Данные!A:Z,26,FALSE)</f>
        <v>9029</v>
      </c>
      <c r="D9" s="337"/>
      <c r="E9" s="338" t="str">
        <f>CONCATENATE(CONCATENATE($F$3,": ",$F9,CHAR(10),$G$3,": ",$G9,CHAR(10),$H$3,": ",$H9,CHAR(10),$I$3,": ",$I9,CHAR(10),$J$3,": ",$J9,CHAR(10),$K$3,": ",$K9,CHAR(10),$L$3,": ",$L9,CHAR(10)),CONCATENATE($M$3,": ",$M9,CHAR(10),$N$3,": ",$N9))</f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524х103х147
Вес, кг: 0</v>
      </c>
      <c r="F9" s="227" t="str">
        <f>VLOOKUP($B9,Данные!$A$1:$U$1006,6,FALSE)</f>
        <v>Д (косинусная)</v>
      </c>
      <c r="G9" s="227">
        <f>VLOOKUP($B9,Данные!$A$1:$U$1006,8,FALSE)</f>
        <v>0</v>
      </c>
      <c r="H9" s="227" t="str">
        <f>VLOOKUP($B9,Данные!$A$1:$U$1006,12,FALSE)</f>
        <v>Экструдированный алюминиевый профиль (анодированный), прозрачное минеральное стекло**</v>
      </c>
      <c r="I9" s="227" t="str">
        <f>VLOOKUP($B9,Данные!$A$1:$U$1006,4,FALSE)</f>
        <v>176-264В AС</v>
      </c>
      <c r="J9" s="227">
        <f>VLOOKUP($B9,Данные!$A$1:$U$1006,5,FALSE)</f>
        <v>0.95</v>
      </c>
      <c r="K9" s="227" t="str">
        <f>VLOOKUP($B9,Данные!$A$1:$U$1006,13,FALSE)</f>
        <v xml:space="preserve"> -60°...+50° С</v>
      </c>
      <c r="L9" s="227" t="str">
        <f>VLOOKUP($B9,Данные!$A$1:$U$1006,14,FALSE)</f>
        <v>100 000 ч.</v>
      </c>
      <c r="M9" s="227" t="str">
        <f>VLOOKUP($B9,Данные!$A$1:$U$1006,10,FALSE)</f>
        <v>524х103х147</v>
      </c>
      <c r="N9" s="227">
        <f>VLOOKUP($B9,Данные!$A$1:$U$1006,11,FALSE)</f>
        <v>0</v>
      </c>
      <c r="O9" s="92" t="str">
        <f>VLOOKUP($B9,Данные!$A$1:$U$1006,9,FALSE)</f>
        <v>-</v>
      </c>
      <c r="P9" s="34">
        <f>VLOOKUP($B9,Данные!$A$1:$U$1006,2,FALSE)</f>
        <v>96</v>
      </c>
      <c r="Q9" s="224">
        <f>VLOOKUP($B9,Данные!$A$1:$U$1006,3,FALSE)</f>
        <v>12000</v>
      </c>
      <c r="R9" s="89" t="str">
        <f>VLOOKUP($B9,Данные!$A$1:$U$1006,15,FALSE)</f>
        <v>4000К</v>
      </c>
      <c r="S9" s="89">
        <f>VLOOKUP($B9,Данные!$A$1:$U$1006,7,FALSE)</f>
        <v>67</v>
      </c>
      <c r="T9" s="224" t="str">
        <f>VLOOKUP($B9,Данные!$A$1:$U$1006,16,FALSE)</f>
        <v>3 года</v>
      </c>
      <c r="U9" s="407">
        <v>4360</v>
      </c>
    </row>
    <row r="10" spans="1:21" ht="69.900000000000006" customHeight="1" thickBot="1">
      <c r="A10" s="356"/>
      <c r="B10" s="15" t="s">
        <v>449</v>
      </c>
      <c r="C10" s="187">
        <f>VLOOKUP(B10,Данные!A:Z,26,FALSE)</f>
        <v>9035</v>
      </c>
      <c r="D10" s="343"/>
      <c r="E10" s="345" t="str">
        <f>CONCATENATE(CONCATENATE($F$3,": ",$F10,CHAR(10),$G$3,": ",$G10,CHAR(10),$H$3,": ",$H10,CHAR(10),$I$3,": ",$I10,CHAR(10),$J$3,": ",$J10,CHAR(10),$K$3,": ",$K10,CHAR(10),$L$3,": ",$L10,CHAR(10)),CONCATENATE($M$3,": ",$M10,CHAR(10),$N$3,": ",$N10))</f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624х103х147
Вес, кг: 0</v>
      </c>
      <c r="F10" s="228" t="str">
        <f>VLOOKUP($B10,Данные!$A$1:$U$1006,6,FALSE)</f>
        <v>Д (косинусная)</v>
      </c>
      <c r="G10" s="228">
        <f>VLOOKUP($B10,Данные!$A$1:$U$1006,8,FALSE)</f>
        <v>0</v>
      </c>
      <c r="H10" s="228" t="str">
        <f>VLOOKUP($B10,Данные!$A$1:$U$1006,12,FALSE)</f>
        <v>Экструдированный алюминиевый профиль (анодированный), прозрачное минеральное стекло**</v>
      </c>
      <c r="I10" s="228" t="str">
        <f>VLOOKUP($B10,Данные!$A$1:$U$1006,4,FALSE)</f>
        <v>176-264В AС</v>
      </c>
      <c r="J10" s="228">
        <f>VLOOKUP($B10,Данные!$A$1:$U$1006,5,FALSE)</f>
        <v>0.95</v>
      </c>
      <c r="K10" s="228" t="str">
        <f>VLOOKUP($B10,Данные!$A$1:$U$1006,13,FALSE)</f>
        <v xml:space="preserve"> -60°...+50° С</v>
      </c>
      <c r="L10" s="228" t="str">
        <f>VLOOKUP($B10,Данные!$A$1:$U$1006,14,FALSE)</f>
        <v>100 000 ч.</v>
      </c>
      <c r="M10" s="228" t="str">
        <f>VLOOKUP($B10,Данные!$A$1:$U$1006,10,FALSE)</f>
        <v>624х103х147</v>
      </c>
      <c r="N10" s="228">
        <f>VLOOKUP($B10,Данные!$A$1:$U$1006,11,FALSE)</f>
        <v>0</v>
      </c>
      <c r="O10" s="93" t="str">
        <f>VLOOKUP($B10,Данные!$A$1:$U$1006,9,FALSE)</f>
        <v>-</v>
      </c>
      <c r="P10" s="74">
        <f>VLOOKUP($B10,Данные!$A$1:$U$1006,2,FALSE)</f>
        <v>124</v>
      </c>
      <c r="Q10" s="225">
        <f>VLOOKUP($B10,Данные!$A$1:$U$1006,3,FALSE)</f>
        <v>15500</v>
      </c>
      <c r="R10" s="90" t="str">
        <f>VLOOKUP($B10,Данные!$A$1:$U$1006,15,FALSE)</f>
        <v>4000К</v>
      </c>
      <c r="S10" s="90">
        <f>VLOOKUP($B10,Данные!$A$1:$U$1006,7,FALSE)</f>
        <v>67</v>
      </c>
      <c r="T10" s="225" t="str">
        <f>VLOOKUP($B10,Данные!$A$1:$U$1006,16,FALSE)</f>
        <v>3 года</v>
      </c>
      <c r="U10" s="408">
        <v>5720</v>
      </c>
    </row>
    <row r="11" spans="1:21" ht="69.900000000000006" customHeight="1">
      <c r="A11" s="352"/>
      <c r="B11" s="17" t="s">
        <v>450</v>
      </c>
      <c r="C11" s="185">
        <f>VLOOKUP(B11,Данные!A:Z,26,FALSE)</f>
        <v>9002</v>
      </c>
      <c r="D11" s="342" t="s">
        <v>515</v>
      </c>
      <c r="E11" s="344" t="str">
        <f>CONCATENATE(CONCATENATE($F$3,": ",$F11,CHAR(10),$H$3,": ",$H11,CHAR(10),$I$3,": ",$I11,CHAR(10),$J$3,": ",$J11,CHAR(10),$K$3,": ",$K11,CHAR(10),$L$3,": ",$L11,CHAR(10)),"*Цветовая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11" s="248" t="str">
        <f>VLOOKUP($B11,Данные!$A$1:$U$1006,6,FALSE)</f>
        <v>Д (косинусная)</v>
      </c>
      <c r="G11" s="248">
        <f>VLOOKUP($B11,Данные!$A$1:$U$1006,8,FALSE)</f>
        <v>0</v>
      </c>
      <c r="H11" s="248" t="str">
        <f>VLOOKUP($B11,Данные!$A$1:$U$1006,12,FALSE)</f>
        <v>Экструдированный алюминиевый профиль (анодированный), прозрачное минеральное стекло**</v>
      </c>
      <c r="I11" s="248" t="str">
        <f>VLOOKUP($B11,Данные!$A$1:$U$1006,4,FALSE)</f>
        <v>176-264В AС</v>
      </c>
      <c r="J11" s="248">
        <f>VLOOKUP($B11,Данные!$A$1:$U$1006,5,FALSE)</f>
        <v>0.95</v>
      </c>
      <c r="K11" s="248" t="str">
        <f>VLOOKUP($B11,Данные!$A$1:$U$1006,13,FALSE)</f>
        <v xml:space="preserve"> -60°...+50° С</v>
      </c>
      <c r="L11" s="248" t="str">
        <f>VLOOKUP($B11,Данные!$A$1:$U$1006,14,FALSE)</f>
        <v>100 000 ч.</v>
      </c>
      <c r="M11" s="248" t="str">
        <f>VLOOKUP($B11,Данные!$A$1:$U$1006,10,FALSE)</f>
        <v>224х100х126</v>
      </c>
      <c r="N11" s="248">
        <f>VLOOKUP($B11,Данные!$A$1:$U$1006,11,FALSE)</f>
        <v>0</v>
      </c>
      <c r="O11" s="91" t="str">
        <f>VLOOKUP($B11,Данные!$A$1:$U$1006,9,FALSE)</f>
        <v>-</v>
      </c>
      <c r="P11" s="33">
        <f>VLOOKUP($B11,Данные!$A$1:$U$1006,2,FALSE)</f>
        <v>32</v>
      </c>
      <c r="Q11" s="245">
        <f>VLOOKUP($B11,Данные!$A$1:$U$1006,3,FALSE)</f>
        <v>4000</v>
      </c>
      <c r="R11" s="88" t="str">
        <f>VLOOKUP($B11,Данные!$A$1:$U$1006,15,FALSE)</f>
        <v>4000К</v>
      </c>
      <c r="S11" s="88">
        <f>VLOOKUP($B11,Данные!$A$1:$U$1006,7,FALSE)</f>
        <v>67</v>
      </c>
      <c r="T11" s="245" t="str">
        <f>VLOOKUP($B11,Данные!$A$1:$U$1006,16,FALSE)</f>
        <v>3 года</v>
      </c>
      <c r="U11" s="406">
        <v>2075</v>
      </c>
    </row>
    <row r="12" spans="1:21" ht="69.900000000000006" customHeight="1">
      <c r="A12" s="353"/>
      <c r="B12" s="18" t="s">
        <v>451</v>
      </c>
      <c r="C12" s="186">
        <f>VLOOKUP(B12,Данные!A:Z,26,FALSE)</f>
        <v>9008</v>
      </c>
      <c r="D12" s="337"/>
      <c r="E12" s="338" t="str">
        <f t="shared" ref="E12:E16" si="0">CONCATENATE(CONCATENATE($F$3,": ",$F12,CHAR(10),$G$3,": ",$G12,CHAR(10),$H$3,": ",$H12,CHAR(10),$I$3,": ",$I12,CHAR(10),$J$3,": ",$J12,CHAR(10),$K$3,": ",$K12,CHAR(10),$L$3,": ",$L12,CHAR(10)),CONCATENATE($M$3,": ",$M12,CHAR(10),$N$3,": ",$N12))</f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274х100х126
Вес, кг: 0</v>
      </c>
      <c r="F12" s="249" t="str">
        <f>VLOOKUP($B12,Данные!$A$1:$U$1006,6,FALSE)</f>
        <v>Д (косинусная)</v>
      </c>
      <c r="G12" s="249">
        <f>VLOOKUP($B12,Данные!$A$1:$U$1006,8,FALSE)</f>
        <v>0</v>
      </c>
      <c r="H12" s="249" t="str">
        <f>VLOOKUP($B12,Данные!$A$1:$U$1006,12,FALSE)</f>
        <v>Экструдированный алюминиевый профиль (анодированный), прозрачное минеральное стекло**</v>
      </c>
      <c r="I12" s="249" t="str">
        <f>VLOOKUP($B12,Данные!$A$1:$U$1006,4,FALSE)</f>
        <v>176-264В AС</v>
      </c>
      <c r="J12" s="249">
        <f>VLOOKUP($B12,Данные!$A$1:$U$1006,5,FALSE)</f>
        <v>0.95</v>
      </c>
      <c r="K12" s="249" t="str">
        <f>VLOOKUP($B12,Данные!$A$1:$U$1006,13,FALSE)</f>
        <v xml:space="preserve"> -60°...+50° С</v>
      </c>
      <c r="L12" s="249" t="str">
        <f>VLOOKUP($B12,Данные!$A$1:$U$1006,14,FALSE)</f>
        <v>100 000 ч.</v>
      </c>
      <c r="M12" s="249" t="str">
        <f>VLOOKUP($B12,Данные!$A$1:$U$1006,10,FALSE)</f>
        <v>274х100х126</v>
      </c>
      <c r="N12" s="249">
        <f>VLOOKUP($B12,Данные!$A$1:$U$1006,11,FALSE)</f>
        <v>0</v>
      </c>
      <c r="O12" s="92" t="str">
        <f>VLOOKUP($B12,Данные!$A$1:$U$1006,9,FALSE)</f>
        <v>-</v>
      </c>
      <c r="P12" s="34">
        <f>VLOOKUP($B12,Данные!$A$1:$U$1006,2,FALSE)</f>
        <v>48</v>
      </c>
      <c r="Q12" s="246">
        <f>VLOOKUP($B12,Данные!$A$1:$U$1006,3,FALSE)</f>
        <v>6000</v>
      </c>
      <c r="R12" s="89" t="str">
        <f>VLOOKUP($B12,Данные!$A$1:$U$1006,15,FALSE)</f>
        <v>4000К</v>
      </c>
      <c r="S12" s="89">
        <f>VLOOKUP($B12,Данные!$A$1:$U$1006,7,FALSE)</f>
        <v>67</v>
      </c>
      <c r="T12" s="246" t="str">
        <f>VLOOKUP($B12,Данные!$A$1:$U$1006,16,FALSE)</f>
        <v>3 года</v>
      </c>
      <c r="U12" s="407">
        <v>2505</v>
      </c>
    </row>
    <row r="13" spans="1:21" ht="69.900000000000006" customHeight="1">
      <c r="A13" s="353"/>
      <c r="B13" s="18" t="s">
        <v>452</v>
      </c>
      <c r="C13" s="186">
        <f>VLOOKUP(B13,Данные!A:Z,26,FALSE)</f>
        <v>9014</v>
      </c>
      <c r="D13" s="337"/>
      <c r="E13" s="338"/>
      <c r="F13" s="249" t="str">
        <f>VLOOKUP($B13,Данные!$A$1:$U$1006,6,FALSE)</f>
        <v>Д (косинусная)</v>
      </c>
      <c r="G13" s="249">
        <f>VLOOKUP($B13,Данные!$A$1:$U$1006,8,FALSE)</f>
        <v>0</v>
      </c>
      <c r="H13" s="249" t="str">
        <f>VLOOKUP($B13,Данные!$A$1:$U$1006,12,FALSE)</f>
        <v>Экструдированный алюминиевый профиль (анодированный), прозрачное минеральное стекло**</v>
      </c>
      <c r="I13" s="249" t="str">
        <f>VLOOKUP($B13,Данные!$A$1:$U$1006,4,FALSE)</f>
        <v>176-264В AС</v>
      </c>
      <c r="J13" s="249">
        <f>VLOOKUP($B13,Данные!$A$1:$U$1006,5,FALSE)</f>
        <v>0.95</v>
      </c>
      <c r="K13" s="249" t="str">
        <f>VLOOKUP($B13,Данные!$A$1:$U$1006,13,FALSE)</f>
        <v xml:space="preserve"> -60°...+50° С</v>
      </c>
      <c r="L13" s="249" t="str">
        <f>VLOOKUP($B13,Данные!$A$1:$U$1006,14,FALSE)</f>
        <v>100 000 ч.</v>
      </c>
      <c r="M13" s="249" t="str">
        <f>VLOOKUP($B13,Данные!$A$1:$U$1006,10,FALSE)</f>
        <v>324х100х126</v>
      </c>
      <c r="N13" s="249">
        <f>VLOOKUP($B13,Данные!$A$1:$U$1006,11,FALSE)</f>
        <v>0</v>
      </c>
      <c r="O13" s="92" t="str">
        <f>VLOOKUP($B13,Данные!$A$1:$U$1006,9,FALSE)</f>
        <v>-</v>
      </c>
      <c r="P13" s="34">
        <f>VLOOKUP($B13,Данные!$A$1:$U$1006,2,FALSE)</f>
        <v>62</v>
      </c>
      <c r="Q13" s="246">
        <f>VLOOKUP($B13,Данные!$A$1:$U$1006,3,FALSE)</f>
        <v>7750</v>
      </c>
      <c r="R13" s="89" t="str">
        <f>VLOOKUP($B13,Данные!$A$1:$U$1006,15,FALSE)</f>
        <v>4000К</v>
      </c>
      <c r="S13" s="89">
        <f>VLOOKUP($B13,Данные!$A$1:$U$1006,7,FALSE)</f>
        <v>67</v>
      </c>
      <c r="T13" s="246" t="str">
        <f>VLOOKUP($B13,Данные!$A$1:$U$1006,16,FALSE)</f>
        <v>3 года</v>
      </c>
      <c r="U13" s="407">
        <v>2860</v>
      </c>
    </row>
    <row r="14" spans="1:21" ht="69.900000000000006" customHeight="1">
      <c r="A14" s="353"/>
      <c r="B14" s="18" t="s">
        <v>453</v>
      </c>
      <c r="C14" s="186">
        <f>VLOOKUP(B14,Данные!A:Z,26,FALSE)</f>
        <v>9020</v>
      </c>
      <c r="D14" s="337"/>
      <c r="E14" s="338"/>
      <c r="F14" s="249" t="str">
        <f>VLOOKUP($B14,Данные!$A$1:$U$1006,6,FALSE)</f>
        <v>Д (косинусная)</v>
      </c>
      <c r="G14" s="249">
        <f>VLOOKUP($B14,Данные!$A$1:$U$1006,8,FALSE)</f>
        <v>0</v>
      </c>
      <c r="H14" s="249" t="str">
        <f>VLOOKUP($B14,Данные!$A$1:$U$1006,12,FALSE)</f>
        <v>Экструдированный алюминиевый профиль (анодированный), прозрачное минеральное стекло**</v>
      </c>
      <c r="I14" s="249" t="str">
        <f>VLOOKUP($B14,Данные!$A$1:$U$1006,4,FALSE)</f>
        <v>176-264В AС</v>
      </c>
      <c r="J14" s="249">
        <f>VLOOKUP($B14,Данные!$A$1:$U$1006,5,FALSE)</f>
        <v>0.95</v>
      </c>
      <c r="K14" s="249" t="str">
        <f>VLOOKUP($B14,Данные!$A$1:$U$1006,13,FALSE)</f>
        <v xml:space="preserve"> -60°...+50° С</v>
      </c>
      <c r="L14" s="249" t="str">
        <f>VLOOKUP($B14,Данные!$A$1:$U$1006,14,FALSE)</f>
        <v>100 000 ч.</v>
      </c>
      <c r="M14" s="249" t="str">
        <f>VLOOKUP($B14,Данные!$A$1:$U$1006,10,FALSE)</f>
        <v>464х100х126</v>
      </c>
      <c r="N14" s="249">
        <f>VLOOKUP($B14,Данные!$A$1:$U$1006,11,FALSE)</f>
        <v>0</v>
      </c>
      <c r="O14" s="92" t="str">
        <f>VLOOKUP($B14,Данные!$A$1:$U$1006,9,FALSE)</f>
        <v>-</v>
      </c>
      <c r="P14" s="34">
        <f>VLOOKUP($B14,Данные!$A$1:$U$1006,2,FALSE)</f>
        <v>80</v>
      </c>
      <c r="Q14" s="246">
        <f>VLOOKUP($B14,Данные!$A$1:$U$1006,3,FALSE)</f>
        <v>10000</v>
      </c>
      <c r="R14" s="89" t="str">
        <f>VLOOKUP($B14,Данные!$A$1:$U$1006,15,FALSE)</f>
        <v>4000К</v>
      </c>
      <c r="S14" s="89">
        <f>VLOOKUP($B14,Данные!$A$1:$U$1006,7,FALSE)</f>
        <v>67</v>
      </c>
      <c r="T14" s="246" t="str">
        <f>VLOOKUP($B14,Данные!$A$1:$U$1006,16,FALSE)</f>
        <v>3 года</v>
      </c>
      <c r="U14" s="407">
        <v>4220</v>
      </c>
    </row>
    <row r="15" spans="1:21" ht="69.900000000000006" customHeight="1">
      <c r="A15" s="353"/>
      <c r="B15" s="18" t="s">
        <v>454</v>
      </c>
      <c r="C15" s="186">
        <f>VLOOKUP(B15,Данные!A:Z,26,FALSE)</f>
        <v>9030</v>
      </c>
      <c r="D15" s="337"/>
      <c r="E15" s="338" t="str">
        <f t="shared" si="0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524х100х126
Вес, кг: 0</v>
      </c>
      <c r="F15" s="249" t="str">
        <f>VLOOKUP($B15,Данные!$A$1:$U$1006,6,FALSE)</f>
        <v>Д (косинусная)</v>
      </c>
      <c r="G15" s="249">
        <f>VLOOKUP($B15,Данные!$A$1:$U$1006,8,FALSE)</f>
        <v>0</v>
      </c>
      <c r="H15" s="249" t="str">
        <f>VLOOKUP($B15,Данные!$A$1:$U$1006,12,FALSE)</f>
        <v>Экструдированный алюминиевый профиль (анодированный), прозрачное минеральное стекло**</v>
      </c>
      <c r="I15" s="249" t="str">
        <f>VLOOKUP($B15,Данные!$A$1:$U$1006,4,FALSE)</f>
        <v>176-264В AС</v>
      </c>
      <c r="J15" s="249">
        <f>VLOOKUP($B15,Данные!$A$1:$U$1006,5,FALSE)</f>
        <v>0.95</v>
      </c>
      <c r="K15" s="249" t="str">
        <f>VLOOKUP($B15,Данные!$A$1:$U$1006,13,FALSE)</f>
        <v xml:space="preserve"> -60°...+50° С</v>
      </c>
      <c r="L15" s="249" t="str">
        <f>VLOOKUP($B15,Данные!$A$1:$U$1006,14,FALSE)</f>
        <v>100 000 ч.</v>
      </c>
      <c r="M15" s="249" t="str">
        <f>VLOOKUP($B15,Данные!$A$1:$U$1006,10,FALSE)</f>
        <v>524х100х126</v>
      </c>
      <c r="N15" s="249">
        <f>VLOOKUP($B15,Данные!$A$1:$U$1006,11,FALSE)</f>
        <v>0</v>
      </c>
      <c r="O15" s="92" t="str">
        <f>VLOOKUP($B15,Данные!$A$1:$U$1006,9,FALSE)</f>
        <v>-</v>
      </c>
      <c r="P15" s="34">
        <f>VLOOKUP($B15,Данные!$A$1:$U$1006,2,FALSE)</f>
        <v>96</v>
      </c>
      <c r="Q15" s="246">
        <f>VLOOKUP($B15,Данные!$A$1:$U$1006,3,FALSE)</f>
        <v>12000</v>
      </c>
      <c r="R15" s="89" t="str">
        <f>VLOOKUP($B15,Данные!$A$1:$U$1006,15,FALSE)</f>
        <v>4000К</v>
      </c>
      <c r="S15" s="89">
        <f>VLOOKUP($B15,Данные!$A$1:$U$1006,7,FALSE)</f>
        <v>67</v>
      </c>
      <c r="T15" s="246" t="str">
        <f>VLOOKUP($B15,Данные!$A$1:$U$1006,16,FALSE)</f>
        <v>3 года</v>
      </c>
      <c r="U15" s="407">
        <v>4360</v>
      </c>
    </row>
    <row r="16" spans="1:21" ht="69.900000000000006" customHeight="1" thickBot="1">
      <c r="A16" s="353"/>
      <c r="B16" s="15" t="s">
        <v>455</v>
      </c>
      <c r="C16" s="187">
        <f>VLOOKUP(B16,Данные!A:Z,26,FALSE)</f>
        <v>9036</v>
      </c>
      <c r="D16" s="343"/>
      <c r="E16" s="345" t="str">
        <f t="shared" si="0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624х100х126
Вес, кг: 0</v>
      </c>
      <c r="F16" s="250" t="str">
        <f>VLOOKUP($B16,Данные!$A$1:$U$1006,6,FALSE)</f>
        <v>Д (косинусная)</v>
      </c>
      <c r="G16" s="250">
        <f>VLOOKUP($B16,Данные!$A$1:$U$1006,8,FALSE)</f>
        <v>0</v>
      </c>
      <c r="H16" s="250" t="str">
        <f>VLOOKUP($B16,Данные!$A$1:$U$1006,12,FALSE)</f>
        <v>Экструдированный алюминиевый профиль (анодированный), прозрачное минеральное стекло**</v>
      </c>
      <c r="I16" s="250" t="str">
        <f>VLOOKUP($B16,Данные!$A$1:$U$1006,4,FALSE)</f>
        <v>176-264В AС</v>
      </c>
      <c r="J16" s="250">
        <f>VLOOKUP($B16,Данные!$A$1:$U$1006,5,FALSE)</f>
        <v>0.95</v>
      </c>
      <c r="K16" s="250" t="str">
        <f>VLOOKUP($B16,Данные!$A$1:$U$1006,13,FALSE)</f>
        <v xml:space="preserve"> -60°...+50° С</v>
      </c>
      <c r="L16" s="250" t="str">
        <f>VLOOKUP($B16,Данные!$A$1:$U$1006,14,FALSE)</f>
        <v>100 000 ч.</v>
      </c>
      <c r="M16" s="250" t="str">
        <f>VLOOKUP($B16,Данные!$A$1:$U$1006,10,FALSE)</f>
        <v>624х100х126</v>
      </c>
      <c r="N16" s="250">
        <f>VLOOKUP($B16,Данные!$A$1:$U$1006,11,FALSE)</f>
        <v>0</v>
      </c>
      <c r="O16" s="93" t="str">
        <f>VLOOKUP($B16,Данные!$A$1:$U$1006,9,FALSE)</f>
        <v>-</v>
      </c>
      <c r="P16" s="74">
        <f>VLOOKUP($B16,Данные!$A$1:$U$1006,2,FALSE)</f>
        <v>124</v>
      </c>
      <c r="Q16" s="247">
        <f>VLOOKUP($B16,Данные!$A$1:$U$1006,3,FALSE)</f>
        <v>15500</v>
      </c>
      <c r="R16" s="90" t="str">
        <f>VLOOKUP($B16,Данные!$A$1:$U$1006,15,FALSE)</f>
        <v>4000К</v>
      </c>
      <c r="S16" s="90">
        <f>VLOOKUP($B16,Данные!$A$1:$U$1006,7,FALSE)</f>
        <v>67</v>
      </c>
      <c r="T16" s="247" t="str">
        <f>VLOOKUP($B16,Данные!$A$1:$U$1006,16,FALSE)</f>
        <v>3 года</v>
      </c>
      <c r="U16" s="408">
        <v>5720</v>
      </c>
    </row>
    <row r="17" spans="1:21" ht="69.900000000000006" customHeight="1">
      <c r="A17" s="352"/>
      <c r="B17" s="17" t="s">
        <v>456</v>
      </c>
      <c r="C17" s="185">
        <f>VLOOKUP(B17,Данные!A:Z,26,FALSE)</f>
        <v>9003</v>
      </c>
      <c r="D17" s="342" t="s">
        <v>515</v>
      </c>
      <c r="E17" s="344" t="str">
        <f>CONCATENATE(CONCATENATE($F$3,": ",$F17,CHAR(10),$H$3,": ",$H17,CHAR(10),$I$3,": ",$I17,CHAR(10),$J$3,": ",$J17,CHAR(10),$K$3,": ",$K17,CHAR(10),$L$3,": ",$L17,CHAR(10)),"*Цветовая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17" s="248" t="str">
        <f>VLOOKUP($B17,Данные!$A$1:$U$1006,6,FALSE)</f>
        <v>Д (косинусная)</v>
      </c>
      <c r="G17" s="248">
        <f>VLOOKUP($B17,Данные!$A$1:$U$1006,8,FALSE)</f>
        <v>0</v>
      </c>
      <c r="H17" s="248" t="str">
        <f>VLOOKUP($B17,Данные!$A$1:$U$1006,12,FALSE)</f>
        <v>Экструдированный алюминиевый профиль (анодированный), прозрачное минеральное стекло**</v>
      </c>
      <c r="I17" s="248" t="str">
        <f>VLOOKUP($B17,Данные!$A$1:$U$1006,4,FALSE)</f>
        <v>176-264В AС</v>
      </c>
      <c r="J17" s="248">
        <f>VLOOKUP($B17,Данные!$A$1:$U$1006,5,FALSE)</f>
        <v>0.95</v>
      </c>
      <c r="K17" s="248" t="str">
        <f>VLOOKUP($B17,Данные!$A$1:$U$1006,13,FALSE)</f>
        <v xml:space="preserve"> -60°...+50° С</v>
      </c>
      <c r="L17" s="248" t="str">
        <f>VLOOKUP($B17,Данные!$A$1:$U$1006,14,FALSE)</f>
        <v>100 000 ч.</v>
      </c>
      <c r="M17" s="248" t="str">
        <f>VLOOKUP($B17,Данные!$A$1:$U$1006,10,FALSE)</f>
        <v>224х210х147</v>
      </c>
      <c r="N17" s="248">
        <f>VLOOKUP($B17,Данные!$A$1:$U$1006,11,FALSE)</f>
        <v>0</v>
      </c>
      <c r="O17" s="91" t="str">
        <f>VLOOKUP($B17,Данные!$A$1:$U$1006,9,FALSE)</f>
        <v>-</v>
      </c>
      <c r="P17" s="33">
        <f>VLOOKUP($B17,Данные!$A$1:$U$1006,2,FALSE)</f>
        <v>64</v>
      </c>
      <c r="Q17" s="245">
        <f>VLOOKUP($B17,Данные!$A$1:$U$1006,3,FALSE)</f>
        <v>8000</v>
      </c>
      <c r="R17" s="88" t="str">
        <f>VLOOKUP($B17,Данные!$A$1:$U$1006,15,FALSE)</f>
        <v>4000К</v>
      </c>
      <c r="S17" s="88">
        <f>VLOOKUP($B17,Данные!$A$1:$U$1006,7,FALSE)</f>
        <v>67</v>
      </c>
      <c r="T17" s="245" t="str">
        <f>VLOOKUP($B17,Данные!$A$1:$U$1006,16,FALSE)</f>
        <v>3 года</v>
      </c>
      <c r="U17" s="406">
        <v>4145</v>
      </c>
    </row>
    <row r="18" spans="1:21" ht="69.900000000000006" customHeight="1">
      <c r="A18" s="353"/>
      <c r="B18" s="18" t="s">
        <v>457</v>
      </c>
      <c r="C18" s="186">
        <f>VLOOKUP(B18,Данные!A:Z,26,FALSE)</f>
        <v>9009</v>
      </c>
      <c r="D18" s="337"/>
      <c r="E18" s="338" t="str">
        <f t="shared" ref="E18:E28" si="1">CONCATENATE(CONCATENATE($F$3,": ",$F18,CHAR(10),$G$3,": ",$G18,CHAR(10),$H$3,": ",$H18,CHAR(10),$I$3,": ",$I18,CHAR(10),$J$3,": ",$J18,CHAR(10),$K$3,": ",$K18,CHAR(10),$L$3,": ",$L18,CHAR(10)),CONCATENATE($M$3,": ",$M18,CHAR(10),$N$3,": ",$N18))</f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274х210х147
Вес, кг: 0</v>
      </c>
      <c r="F18" s="249" t="str">
        <f>VLOOKUP($B18,Данные!$A$1:$U$1006,6,FALSE)</f>
        <v>Д (косинусная)</v>
      </c>
      <c r="G18" s="249">
        <f>VLOOKUP($B18,Данные!$A$1:$U$1006,8,FALSE)</f>
        <v>0</v>
      </c>
      <c r="H18" s="249" t="str">
        <f>VLOOKUP($B18,Данные!$A$1:$U$1006,12,FALSE)</f>
        <v>Экструдированный алюминиевый профиль (анодированный), прозрачное минеральное стекло**</v>
      </c>
      <c r="I18" s="249" t="str">
        <f>VLOOKUP($B18,Данные!$A$1:$U$1006,4,FALSE)</f>
        <v>176-264В AС</v>
      </c>
      <c r="J18" s="249">
        <f>VLOOKUP($B18,Данные!$A$1:$U$1006,5,FALSE)</f>
        <v>0.95</v>
      </c>
      <c r="K18" s="249" t="str">
        <f>VLOOKUP($B18,Данные!$A$1:$U$1006,13,FALSE)</f>
        <v xml:space="preserve"> -60°...+50° С</v>
      </c>
      <c r="L18" s="249" t="str">
        <f>VLOOKUP($B18,Данные!$A$1:$U$1006,14,FALSE)</f>
        <v>100 000 ч.</v>
      </c>
      <c r="M18" s="249" t="str">
        <f>VLOOKUP($B18,Данные!$A$1:$U$1006,10,FALSE)</f>
        <v>274х210х147</v>
      </c>
      <c r="N18" s="249">
        <f>VLOOKUP($B18,Данные!$A$1:$U$1006,11,FALSE)</f>
        <v>0</v>
      </c>
      <c r="O18" s="92" t="str">
        <f>VLOOKUP($B18,Данные!$A$1:$U$1006,9,FALSE)</f>
        <v>-</v>
      </c>
      <c r="P18" s="34">
        <f>VLOOKUP($B18,Данные!$A$1:$U$1006,2,FALSE)</f>
        <v>96</v>
      </c>
      <c r="Q18" s="246">
        <f>VLOOKUP($B18,Данные!$A$1:$U$1006,3,FALSE)</f>
        <v>12000</v>
      </c>
      <c r="R18" s="89" t="str">
        <f>VLOOKUP($B18,Данные!$A$1:$U$1006,15,FALSE)</f>
        <v>4000К</v>
      </c>
      <c r="S18" s="89">
        <f>VLOOKUP($B18,Данные!$A$1:$U$1006,7,FALSE)</f>
        <v>67</v>
      </c>
      <c r="T18" s="246" t="str">
        <f>VLOOKUP($B18,Данные!$A$1:$U$1006,16,FALSE)</f>
        <v>3 года</v>
      </c>
      <c r="U18" s="407">
        <v>5005</v>
      </c>
    </row>
    <row r="19" spans="1:21" ht="69.900000000000006" customHeight="1">
      <c r="A19" s="353"/>
      <c r="B19" s="18" t="s">
        <v>458</v>
      </c>
      <c r="C19" s="186">
        <f>VLOOKUP(B19,Данные!A:Z,26,FALSE)</f>
        <v>9015</v>
      </c>
      <c r="D19" s="337"/>
      <c r="E19" s="338"/>
      <c r="F19" s="249" t="str">
        <f>VLOOKUP($B19,Данные!$A$1:$U$1006,6,FALSE)</f>
        <v>Д (косинусная)</v>
      </c>
      <c r="G19" s="249">
        <f>VLOOKUP($B19,Данные!$A$1:$U$1006,8,FALSE)</f>
        <v>0</v>
      </c>
      <c r="H19" s="249" t="str">
        <f>VLOOKUP($B19,Данные!$A$1:$U$1006,12,FALSE)</f>
        <v>Экструдированный алюминиевый профиль (анодированный), прозрачное минеральное стекло**</v>
      </c>
      <c r="I19" s="249" t="str">
        <f>VLOOKUP($B19,Данные!$A$1:$U$1006,4,FALSE)</f>
        <v>176-264В AС</v>
      </c>
      <c r="J19" s="249">
        <f>VLOOKUP($B19,Данные!$A$1:$U$1006,5,FALSE)</f>
        <v>0.95</v>
      </c>
      <c r="K19" s="249" t="str">
        <f>VLOOKUP($B19,Данные!$A$1:$U$1006,13,FALSE)</f>
        <v xml:space="preserve"> -60°...+50° С</v>
      </c>
      <c r="L19" s="249" t="str">
        <f>VLOOKUP($B19,Данные!$A$1:$U$1006,14,FALSE)</f>
        <v>100 000 ч.</v>
      </c>
      <c r="M19" s="249" t="str">
        <f>VLOOKUP($B19,Данные!$A$1:$U$1006,10,FALSE)</f>
        <v>324х210х147</v>
      </c>
      <c r="N19" s="249">
        <f>VLOOKUP($B19,Данные!$A$1:$U$1006,11,FALSE)</f>
        <v>0</v>
      </c>
      <c r="O19" s="92" t="str">
        <f>VLOOKUP($B19,Данные!$A$1:$U$1006,9,FALSE)</f>
        <v>-</v>
      </c>
      <c r="P19" s="34">
        <f>VLOOKUP($B19,Данные!$A$1:$U$1006,2,FALSE)</f>
        <v>124</v>
      </c>
      <c r="Q19" s="246">
        <f>VLOOKUP($B19,Данные!$A$1:$U$1006,3,FALSE)</f>
        <v>15500</v>
      </c>
      <c r="R19" s="89" t="str">
        <f>VLOOKUP($B19,Данные!$A$1:$U$1006,15,FALSE)</f>
        <v>4000К</v>
      </c>
      <c r="S19" s="89">
        <f>VLOOKUP($B19,Данные!$A$1:$U$1006,7,FALSE)</f>
        <v>67</v>
      </c>
      <c r="T19" s="246" t="str">
        <f>VLOOKUP($B19,Данные!$A$1:$U$1006,16,FALSE)</f>
        <v>3 года</v>
      </c>
      <c r="U19" s="407">
        <v>5720</v>
      </c>
    </row>
    <row r="20" spans="1:21" ht="69.900000000000006" customHeight="1">
      <c r="A20" s="353"/>
      <c r="B20" s="18" t="s">
        <v>459</v>
      </c>
      <c r="C20" s="186">
        <f>VLOOKUP(B20,Данные!A:Z,26,FALSE)</f>
        <v>9021</v>
      </c>
      <c r="D20" s="337"/>
      <c r="E20" s="338"/>
      <c r="F20" s="249" t="str">
        <f>VLOOKUP($B20,Данные!$A$1:$U$1006,6,FALSE)</f>
        <v>Д (косинусная)</v>
      </c>
      <c r="G20" s="249">
        <f>VLOOKUP($B20,Данные!$A$1:$U$1006,8,FALSE)</f>
        <v>0</v>
      </c>
      <c r="H20" s="249" t="str">
        <f>VLOOKUP($B20,Данные!$A$1:$U$1006,12,FALSE)</f>
        <v>Экструдированный алюминиевый профиль (анодированный), прозрачное минеральное стекло**</v>
      </c>
      <c r="I20" s="249" t="str">
        <f>VLOOKUP($B20,Данные!$A$1:$U$1006,4,FALSE)</f>
        <v>176-264В AС</v>
      </c>
      <c r="J20" s="249">
        <f>VLOOKUP($B20,Данные!$A$1:$U$1006,5,FALSE)</f>
        <v>0.95</v>
      </c>
      <c r="K20" s="249" t="str">
        <f>VLOOKUP($B20,Данные!$A$1:$U$1006,13,FALSE)</f>
        <v xml:space="preserve"> -60°...+50° С</v>
      </c>
      <c r="L20" s="249" t="str">
        <f>VLOOKUP($B20,Данные!$A$1:$U$1006,14,FALSE)</f>
        <v>100 000 ч.</v>
      </c>
      <c r="M20" s="249" t="str">
        <f>VLOOKUP($B20,Данные!$A$1:$U$1006,10,FALSE)</f>
        <v>464х210х147</v>
      </c>
      <c r="N20" s="249">
        <f>VLOOKUP($B20,Данные!$A$1:$U$1006,11,FALSE)</f>
        <v>0</v>
      </c>
      <c r="O20" s="92" t="str">
        <f>VLOOKUP($B20,Данные!$A$1:$U$1006,9,FALSE)</f>
        <v>-</v>
      </c>
      <c r="P20" s="34">
        <f>VLOOKUP($B20,Данные!$A$1:$U$1006,2,FALSE)</f>
        <v>160</v>
      </c>
      <c r="Q20" s="246">
        <f>VLOOKUP($B20,Данные!$A$1:$U$1006,3,FALSE)</f>
        <v>20000</v>
      </c>
      <c r="R20" s="89" t="str">
        <f>VLOOKUP($B20,Данные!$A$1:$U$1006,15,FALSE)</f>
        <v>4000К</v>
      </c>
      <c r="S20" s="89">
        <f>VLOOKUP($B20,Данные!$A$1:$U$1006,7,FALSE)</f>
        <v>67</v>
      </c>
      <c r="T20" s="246" t="str">
        <f>VLOOKUP($B20,Данные!$A$1:$U$1006,16,FALSE)</f>
        <v>3 года</v>
      </c>
      <c r="U20" s="407">
        <v>8435</v>
      </c>
    </row>
    <row r="21" spans="1:21" ht="69.900000000000006" customHeight="1">
      <c r="A21" s="353"/>
      <c r="B21" s="18" t="s">
        <v>460</v>
      </c>
      <c r="C21" s="186">
        <f>VLOOKUP(B21,Данные!A:Z,26,FALSE)</f>
        <v>9031</v>
      </c>
      <c r="D21" s="337"/>
      <c r="E21" s="338" t="str">
        <f t="shared" si="1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524х210х147
Вес, кг: 0</v>
      </c>
      <c r="F21" s="249" t="str">
        <f>VLOOKUP($B21,Данные!$A$1:$U$1006,6,FALSE)</f>
        <v>Д (косинусная)</v>
      </c>
      <c r="G21" s="249">
        <f>VLOOKUP($B21,Данные!$A$1:$U$1006,8,FALSE)</f>
        <v>0</v>
      </c>
      <c r="H21" s="249" t="str">
        <f>VLOOKUP($B21,Данные!$A$1:$U$1006,12,FALSE)</f>
        <v>Экструдированный алюминиевый профиль (анодированный), прозрачное минеральное стекло**</v>
      </c>
      <c r="I21" s="249" t="str">
        <f>VLOOKUP($B21,Данные!$A$1:$U$1006,4,FALSE)</f>
        <v>176-264В AС</v>
      </c>
      <c r="J21" s="249">
        <f>VLOOKUP($B21,Данные!$A$1:$U$1006,5,FALSE)</f>
        <v>0.95</v>
      </c>
      <c r="K21" s="249" t="str">
        <f>VLOOKUP($B21,Данные!$A$1:$U$1006,13,FALSE)</f>
        <v xml:space="preserve"> -60°...+50° С</v>
      </c>
      <c r="L21" s="249" t="str">
        <f>VLOOKUP($B21,Данные!$A$1:$U$1006,14,FALSE)</f>
        <v>100 000 ч.</v>
      </c>
      <c r="M21" s="249" t="str">
        <f>VLOOKUP($B21,Данные!$A$1:$U$1006,10,FALSE)</f>
        <v>524х210х147</v>
      </c>
      <c r="N21" s="249">
        <f>VLOOKUP($B21,Данные!$A$1:$U$1006,11,FALSE)</f>
        <v>0</v>
      </c>
      <c r="O21" s="92" t="str">
        <f>VLOOKUP($B21,Данные!$A$1:$U$1006,9,FALSE)</f>
        <v>-</v>
      </c>
      <c r="P21" s="34">
        <f>VLOOKUP($B21,Данные!$A$1:$U$1006,2,FALSE)</f>
        <v>192</v>
      </c>
      <c r="Q21" s="246">
        <f>VLOOKUP($B21,Данные!$A$1:$U$1006,3,FALSE)</f>
        <v>24000</v>
      </c>
      <c r="R21" s="89" t="str">
        <f>VLOOKUP($B21,Данные!$A$1:$U$1006,15,FALSE)</f>
        <v>4000К</v>
      </c>
      <c r="S21" s="89">
        <f>VLOOKUP($B21,Данные!$A$1:$U$1006,7,FALSE)</f>
        <v>67</v>
      </c>
      <c r="T21" s="246" t="str">
        <f>VLOOKUP($B21,Данные!$A$1:$U$1006,16,FALSE)</f>
        <v>3 года</v>
      </c>
      <c r="U21" s="407">
        <v>8725</v>
      </c>
    </row>
    <row r="22" spans="1:21" ht="69.900000000000006" customHeight="1" thickBot="1">
      <c r="A22" s="353"/>
      <c r="B22" s="15" t="s">
        <v>461</v>
      </c>
      <c r="C22" s="187">
        <f>VLOOKUP(B22,Данные!A:Z,26,FALSE)</f>
        <v>9037</v>
      </c>
      <c r="D22" s="343"/>
      <c r="E22" s="345" t="str">
        <f t="shared" si="1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624х210х147
Вес, кг: 0</v>
      </c>
      <c r="F22" s="250" t="str">
        <f>VLOOKUP($B22,Данные!$A$1:$U$1006,6,FALSE)</f>
        <v>Д (косинусная)</v>
      </c>
      <c r="G22" s="250">
        <f>VLOOKUP($B22,Данные!$A$1:$U$1006,8,FALSE)</f>
        <v>0</v>
      </c>
      <c r="H22" s="250" t="str">
        <f>VLOOKUP($B22,Данные!$A$1:$U$1006,12,FALSE)</f>
        <v>Экструдированный алюминиевый профиль (анодированный), прозрачное минеральное стекло**</v>
      </c>
      <c r="I22" s="250" t="str">
        <f>VLOOKUP($B22,Данные!$A$1:$U$1006,4,FALSE)</f>
        <v>176-264В AС</v>
      </c>
      <c r="J22" s="250">
        <f>VLOOKUP($B22,Данные!$A$1:$U$1006,5,FALSE)</f>
        <v>0.95</v>
      </c>
      <c r="K22" s="250" t="str">
        <f>VLOOKUP($B22,Данные!$A$1:$U$1006,13,FALSE)</f>
        <v xml:space="preserve"> -60°...+50° С</v>
      </c>
      <c r="L22" s="250" t="str">
        <f>VLOOKUP($B22,Данные!$A$1:$U$1006,14,FALSE)</f>
        <v>100 000 ч.</v>
      </c>
      <c r="M22" s="250" t="str">
        <f>VLOOKUP($B22,Данные!$A$1:$U$1006,10,FALSE)</f>
        <v>624х210х147</v>
      </c>
      <c r="N22" s="250">
        <f>VLOOKUP($B22,Данные!$A$1:$U$1006,11,FALSE)</f>
        <v>0</v>
      </c>
      <c r="O22" s="93" t="str">
        <f>VLOOKUP($B22,Данные!$A$1:$U$1006,9,FALSE)</f>
        <v>-</v>
      </c>
      <c r="P22" s="74">
        <f>VLOOKUP($B22,Данные!$A$1:$U$1006,2,FALSE)</f>
        <v>248</v>
      </c>
      <c r="Q22" s="247">
        <f>VLOOKUP($B22,Данные!$A$1:$U$1006,3,FALSE)</f>
        <v>31000</v>
      </c>
      <c r="R22" s="90" t="str">
        <f>VLOOKUP($B22,Данные!$A$1:$U$1006,15,FALSE)</f>
        <v>4000К</v>
      </c>
      <c r="S22" s="90">
        <f>VLOOKUP($B22,Данные!$A$1:$U$1006,7,FALSE)</f>
        <v>67</v>
      </c>
      <c r="T22" s="247" t="str">
        <f>VLOOKUP($B22,Данные!$A$1:$U$1006,16,FALSE)</f>
        <v>3 года</v>
      </c>
      <c r="U22" s="408">
        <v>11440</v>
      </c>
    </row>
    <row r="23" spans="1:21" ht="69.900000000000006" customHeight="1">
      <c r="A23" s="349"/>
      <c r="B23" s="17" t="s">
        <v>462</v>
      </c>
      <c r="C23" s="185">
        <f>VLOOKUP(B23,Данные!A:Z,26,FALSE)</f>
        <v>9004</v>
      </c>
      <c r="D23" s="342" t="s">
        <v>515</v>
      </c>
      <c r="E23" s="344" t="str">
        <f>CONCATENATE(CONCATENATE($F$3,": ",$F23,CHAR(10),$H$3,": ",$H23,CHAR(10),$I$3,": ",$I23,CHAR(10),$J$3,": ",$J23,CHAR(10),$K$3,": ",$K23,CHAR(10),$L$3,": ",$L23,CHAR(10)),"*Цветовая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23" s="248" t="str">
        <f>VLOOKUP($B23,Данные!$A$1:$U$1006,6,FALSE)</f>
        <v>Д (косинусная)</v>
      </c>
      <c r="G23" s="248">
        <f>VLOOKUP($B23,Данные!$A$1:$U$1006,8,FALSE)</f>
        <v>0</v>
      </c>
      <c r="H23" s="248" t="str">
        <f>VLOOKUP($B23,Данные!$A$1:$U$1006,12,FALSE)</f>
        <v>Экструдированный алюминиевый профиль (анодированный), прозрачное минеральное стекло**</v>
      </c>
      <c r="I23" s="248" t="str">
        <f>VLOOKUP($B23,Данные!$A$1:$U$1006,4,FALSE)</f>
        <v>176-264В AС</v>
      </c>
      <c r="J23" s="248">
        <f>VLOOKUP($B23,Данные!$A$1:$U$1006,5,FALSE)</f>
        <v>0.95</v>
      </c>
      <c r="K23" s="248" t="str">
        <f>VLOOKUP($B23,Данные!$A$1:$U$1006,13,FALSE)</f>
        <v xml:space="preserve"> -60°...+50° С</v>
      </c>
      <c r="L23" s="248" t="str">
        <f>VLOOKUP($B23,Данные!$A$1:$U$1006,14,FALSE)</f>
        <v>100 000 ч.</v>
      </c>
      <c r="M23" s="248" t="str">
        <f>VLOOKUP($B23,Данные!$A$1:$U$1006,10,FALSE)</f>
        <v>224х262х82</v>
      </c>
      <c r="N23" s="248">
        <f>VLOOKUP($B23,Данные!$A$1:$U$1006,11,FALSE)</f>
        <v>0</v>
      </c>
      <c r="O23" s="91" t="str">
        <f>VLOOKUP($B23,Данные!$A$1:$U$1006,9,FALSE)</f>
        <v>-</v>
      </c>
      <c r="P23" s="33">
        <f>VLOOKUP($B23,Данные!$A$1:$U$1006,2,FALSE)</f>
        <v>64</v>
      </c>
      <c r="Q23" s="245">
        <f>VLOOKUP($B23,Данные!$A$1:$U$1006,3,FALSE)</f>
        <v>8000</v>
      </c>
      <c r="R23" s="88" t="str">
        <f>VLOOKUP($B23,Данные!$A$1:$U$1006,15,FALSE)</f>
        <v>4000К</v>
      </c>
      <c r="S23" s="88">
        <f>VLOOKUP($B23,Данные!$A$1:$U$1006,7,FALSE)</f>
        <v>67</v>
      </c>
      <c r="T23" s="245" t="str">
        <f>VLOOKUP($B23,Данные!$A$1:$U$1006,16,FALSE)</f>
        <v>3 года</v>
      </c>
      <c r="U23" s="406">
        <v>4145</v>
      </c>
    </row>
    <row r="24" spans="1:21" ht="69.900000000000006" customHeight="1">
      <c r="A24" s="350"/>
      <c r="B24" s="18" t="s">
        <v>463</v>
      </c>
      <c r="C24" s="186">
        <f>VLOOKUP(B24,Данные!A:Z,26,FALSE)</f>
        <v>9010</v>
      </c>
      <c r="D24" s="337"/>
      <c r="E24" s="338" t="str">
        <f t="shared" si="1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274х262х82
Вес, кг: 0</v>
      </c>
      <c r="F24" s="249" t="str">
        <f>VLOOKUP($B24,Данные!$A$1:$U$1006,6,FALSE)</f>
        <v>Д (косинусная)</v>
      </c>
      <c r="G24" s="249">
        <f>VLOOKUP($B24,Данные!$A$1:$U$1006,8,FALSE)</f>
        <v>0</v>
      </c>
      <c r="H24" s="249" t="str">
        <f>VLOOKUP($B24,Данные!$A$1:$U$1006,12,FALSE)</f>
        <v>Экструдированный алюминиевый профиль (анодированный), прозрачное минеральное стекло**</v>
      </c>
      <c r="I24" s="249" t="str">
        <f>VLOOKUP($B24,Данные!$A$1:$U$1006,4,FALSE)</f>
        <v>176-264В AС</v>
      </c>
      <c r="J24" s="249">
        <f>VLOOKUP($B24,Данные!$A$1:$U$1006,5,FALSE)</f>
        <v>0.95</v>
      </c>
      <c r="K24" s="249" t="str">
        <f>VLOOKUP($B24,Данные!$A$1:$U$1006,13,FALSE)</f>
        <v xml:space="preserve"> -60°...+50° С</v>
      </c>
      <c r="L24" s="249" t="str">
        <f>VLOOKUP($B24,Данные!$A$1:$U$1006,14,FALSE)</f>
        <v>100 000 ч.</v>
      </c>
      <c r="M24" s="249" t="str">
        <f>VLOOKUP($B24,Данные!$A$1:$U$1006,10,FALSE)</f>
        <v>274х262х82</v>
      </c>
      <c r="N24" s="249">
        <f>VLOOKUP($B24,Данные!$A$1:$U$1006,11,FALSE)</f>
        <v>0</v>
      </c>
      <c r="O24" s="92" t="str">
        <f>VLOOKUP($B24,Данные!$A$1:$U$1006,9,FALSE)</f>
        <v>-</v>
      </c>
      <c r="P24" s="34">
        <f>VLOOKUP($B24,Данные!$A$1:$U$1006,2,FALSE)</f>
        <v>96</v>
      </c>
      <c r="Q24" s="246">
        <f>VLOOKUP($B24,Данные!$A$1:$U$1006,3,FALSE)</f>
        <v>12000</v>
      </c>
      <c r="R24" s="89" t="str">
        <f>VLOOKUP($B24,Данные!$A$1:$U$1006,15,FALSE)</f>
        <v>4000К</v>
      </c>
      <c r="S24" s="89">
        <f>VLOOKUP($B24,Данные!$A$1:$U$1006,7,FALSE)</f>
        <v>67</v>
      </c>
      <c r="T24" s="246" t="str">
        <f>VLOOKUP($B24,Данные!$A$1:$U$1006,16,FALSE)</f>
        <v>3 года</v>
      </c>
      <c r="U24" s="407">
        <v>5005</v>
      </c>
    </row>
    <row r="25" spans="1:21" ht="69.900000000000006" customHeight="1">
      <c r="A25" s="350"/>
      <c r="B25" s="18" t="s">
        <v>464</v>
      </c>
      <c r="C25" s="186">
        <f>VLOOKUP(B25,Данные!A:Z,26,FALSE)</f>
        <v>9016</v>
      </c>
      <c r="D25" s="337"/>
      <c r="E25" s="338"/>
      <c r="F25" s="249" t="str">
        <f>VLOOKUP($B25,Данные!$A$1:$U$1006,6,FALSE)</f>
        <v>Д (косинусная)</v>
      </c>
      <c r="G25" s="249">
        <f>VLOOKUP($B25,Данные!$A$1:$U$1006,8,FALSE)</f>
        <v>0</v>
      </c>
      <c r="H25" s="249" t="str">
        <f>VLOOKUP($B25,Данные!$A$1:$U$1006,12,FALSE)</f>
        <v>Экструдированный алюминиевый профиль (анодированный), прозрачное минеральное стекло**</v>
      </c>
      <c r="I25" s="249" t="str">
        <f>VLOOKUP($B25,Данные!$A$1:$U$1006,4,FALSE)</f>
        <v>176-264В AС</v>
      </c>
      <c r="J25" s="249">
        <f>VLOOKUP($B25,Данные!$A$1:$U$1006,5,FALSE)</f>
        <v>0.95</v>
      </c>
      <c r="K25" s="249" t="str">
        <f>VLOOKUP($B25,Данные!$A$1:$U$1006,13,FALSE)</f>
        <v xml:space="preserve"> -60°...+50° С</v>
      </c>
      <c r="L25" s="249" t="str">
        <f>VLOOKUP($B25,Данные!$A$1:$U$1006,14,FALSE)</f>
        <v>100 000 ч.</v>
      </c>
      <c r="M25" s="249" t="str">
        <f>VLOOKUP($B25,Данные!$A$1:$U$1006,10,FALSE)</f>
        <v>324х262х82</v>
      </c>
      <c r="N25" s="249">
        <f>VLOOKUP($B25,Данные!$A$1:$U$1006,11,FALSE)</f>
        <v>0</v>
      </c>
      <c r="O25" s="92" t="str">
        <f>VLOOKUP($B25,Данные!$A$1:$U$1006,9,FALSE)</f>
        <v>-</v>
      </c>
      <c r="P25" s="34">
        <f>VLOOKUP($B25,Данные!$A$1:$U$1006,2,FALSE)</f>
        <v>124</v>
      </c>
      <c r="Q25" s="246">
        <f>VLOOKUP($B25,Данные!$A$1:$U$1006,3,FALSE)</f>
        <v>15500</v>
      </c>
      <c r="R25" s="89" t="str">
        <f>VLOOKUP($B25,Данные!$A$1:$U$1006,15,FALSE)</f>
        <v>4000К</v>
      </c>
      <c r="S25" s="89">
        <f>VLOOKUP($B25,Данные!$A$1:$U$1006,7,FALSE)</f>
        <v>67</v>
      </c>
      <c r="T25" s="246" t="str">
        <f>VLOOKUP($B25,Данные!$A$1:$U$1006,16,FALSE)</f>
        <v>3 года</v>
      </c>
      <c r="U25" s="407">
        <v>5720</v>
      </c>
    </row>
    <row r="26" spans="1:21" ht="69.900000000000006" customHeight="1">
      <c r="A26" s="350"/>
      <c r="B26" s="18" t="s">
        <v>465</v>
      </c>
      <c r="C26" s="186">
        <f>VLOOKUP(B26,Данные!A:Z,26,FALSE)</f>
        <v>9022</v>
      </c>
      <c r="D26" s="337"/>
      <c r="E26" s="338"/>
      <c r="F26" s="249" t="str">
        <f>VLOOKUP($B26,Данные!$A$1:$U$1006,6,FALSE)</f>
        <v>Д (косинусная)</v>
      </c>
      <c r="G26" s="249">
        <f>VLOOKUP($B26,Данные!$A$1:$U$1006,8,FALSE)</f>
        <v>0</v>
      </c>
      <c r="H26" s="249" t="str">
        <f>VLOOKUP($B26,Данные!$A$1:$U$1006,12,FALSE)</f>
        <v>Экструдированный алюминиевый профиль (анодированный), прозрачное минеральное стекло**</v>
      </c>
      <c r="I26" s="249" t="str">
        <f>VLOOKUP($B26,Данные!$A$1:$U$1006,4,FALSE)</f>
        <v>176-264В AС</v>
      </c>
      <c r="J26" s="249">
        <f>VLOOKUP($B26,Данные!$A$1:$U$1006,5,FALSE)</f>
        <v>0.95</v>
      </c>
      <c r="K26" s="249" t="str">
        <f>VLOOKUP($B26,Данные!$A$1:$U$1006,13,FALSE)</f>
        <v xml:space="preserve"> -60°...+50° С</v>
      </c>
      <c r="L26" s="249" t="str">
        <f>VLOOKUP($B26,Данные!$A$1:$U$1006,14,FALSE)</f>
        <v>100 000 ч.</v>
      </c>
      <c r="M26" s="249" t="str">
        <f>VLOOKUP($B26,Данные!$A$1:$U$1006,10,FALSE)</f>
        <v>464х262х82</v>
      </c>
      <c r="N26" s="249">
        <f>VLOOKUP($B26,Данные!$A$1:$U$1006,11,FALSE)</f>
        <v>0</v>
      </c>
      <c r="O26" s="92" t="str">
        <f>VLOOKUP($B26,Данные!$A$1:$U$1006,9,FALSE)</f>
        <v>-</v>
      </c>
      <c r="P26" s="34">
        <f>VLOOKUP($B26,Данные!$A$1:$U$1006,2,FALSE)</f>
        <v>160</v>
      </c>
      <c r="Q26" s="246">
        <f>VLOOKUP($B26,Данные!$A$1:$U$1006,3,FALSE)</f>
        <v>20000</v>
      </c>
      <c r="R26" s="89" t="str">
        <f>VLOOKUP($B26,Данные!$A$1:$U$1006,15,FALSE)</f>
        <v>4000К</v>
      </c>
      <c r="S26" s="89">
        <f>VLOOKUP($B26,Данные!$A$1:$U$1006,7,FALSE)</f>
        <v>67</v>
      </c>
      <c r="T26" s="246" t="str">
        <f>VLOOKUP($B26,Данные!$A$1:$U$1006,16,FALSE)</f>
        <v>3 года</v>
      </c>
      <c r="U26" s="407">
        <v>8435</v>
      </c>
    </row>
    <row r="27" spans="1:21" ht="69.900000000000006" customHeight="1">
      <c r="A27" s="350"/>
      <c r="B27" s="18" t="s">
        <v>466</v>
      </c>
      <c r="C27" s="186">
        <f>VLOOKUP(B27,Данные!A:Z,26,FALSE)</f>
        <v>9032</v>
      </c>
      <c r="D27" s="337"/>
      <c r="E27" s="338" t="str">
        <f t="shared" si="1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524х262х82
Вес, кг: 0</v>
      </c>
      <c r="F27" s="249" t="str">
        <f>VLOOKUP($B27,Данные!$A$1:$U$1006,6,FALSE)</f>
        <v>Д (косинусная)</v>
      </c>
      <c r="G27" s="249">
        <f>VLOOKUP($B27,Данные!$A$1:$U$1006,8,FALSE)</f>
        <v>0</v>
      </c>
      <c r="H27" s="249" t="str">
        <f>VLOOKUP($B27,Данные!$A$1:$U$1006,12,FALSE)</f>
        <v>Экструдированный алюминиевый профиль (анодированный), прозрачное минеральное стекло**</v>
      </c>
      <c r="I27" s="249" t="str">
        <f>VLOOKUP($B27,Данные!$A$1:$U$1006,4,FALSE)</f>
        <v>176-264В AС</v>
      </c>
      <c r="J27" s="249">
        <f>VLOOKUP($B27,Данные!$A$1:$U$1006,5,FALSE)</f>
        <v>0.95</v>
      </c>
      <c r="K27" s="249" t="str">
        <f>VLOOKUP($B27,Данные!$A$1:$U$1006,13,FALSE)</f>
        <v xml:space="preserve"> -60°...+50° С</v>
      </c>
      <c r="L27" s="249" t="str">
        <f>VLOOKUP($B27,Данные!$A$1:$U$1006,14,FALSE)</f>
        <v>100 000 ч.</v>
      </c>
      <c r="M27" s="249" t="str">
        <f>VLOOKUP($B27,Данные!$A$1:$U$1006,10,FALSE)</f>
        <v>524х262х82</v>
      </c>
      <c r="N27" s="249">
        <f>VLOOKUP($B27,Данные!$A$1:$U$1006,11,FALSE)</f>
        <v>0</v>
      </c>
      <c r="O27" s="92" t="str">
        <f>VLOOKUP($B27,Данные!$A$1:$U$1006,9,FALSE)</f>
        <v>-</v>
      </c>
      <c r="P27" s="34">
        <f>VLOOKUP($B27,Данные!$A$1:$U$1006,2,FALSE)</f>
        <v>192</v>
      </c>
      <c r="Q27" s="246">
        <f>VLOOKUP($B27,Данные!$A$1:$U$1006,3,FALSE)</f>
        <v>24000</v>
      </c>
      <c r="R27" s="89" t="str">
        <f>VLOOKUP($B27,Данные!$A$1:$U$1006,15,FALSE)</f>
        <v>4000К</v>
      </c>
      <c r="S27" s="89">
        <f>VLOOKUP($B27,Данные!$A$1:$U$1006,7,FALSE)</f>
        <v>67</v>
      </c>
      <c r="T27" s="246" t="str">
        <f>VLOOKUP($B27,Данные!$A$1:$U$1006,16,FALSE)</f>
        <v>3 года</v>
      </c>
      <c r="U27" s="407">
        <v>8725</v>
      </c>
    </row>
    <row r="28" spans="1:21" ht="69.900000000000006" customHeight="1" thickBot="1">
      <c r="A28" s="351"/>
      <c r="B28" s="15" t="s">
        <v>467</v>
      </c>
      <c r="C28" s="187">
        <f>VLOOKUP(B28,Данные!A:Z,26,FALSE)</f>
        <v>9038</v>
      </c>
      <c r="D28" s="343"/>
      <c r="E28" s="345" t="str">
        <f t="shared" si="1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624х262х82
Вес, кг: 0</v>
      </c>
      <c r="F28" s="250" t="str">
        <f>VLOOKUP($B28,Данные!$A$1:$U$1006,6,FALSE)</f>
        <v>Д (косинусная)</v>
      </c>
      <c r="G28" s="250">
        <f>VLOOKUP($B28,Данные!$A$1:$U$1006,8,FALSE)</f>
        <v>0</v>
      </c>
      <c r="H28" s="250" t="str">
        <f>VLOOKUP($B28,Данные!$A$1:$U$1006,12,FALSE)</f>
        <v>Экструдированный алюминиевый профиль (анодированный), прозрачное минеральное стекло**</v>
      </c>
      <c r="I28" s="250" t="str">
        <f>VLOOKUP($B28,Данные!$A$1:$U$1006,4,FALSE)</f>
        <v>176-264В AС</v>
      </c>
      <c r="J28" s="250">
        <f>VLOOKUP($B28,Данные!$A$1:$U$1006,5,FALSE)</f>
        <v>0.95</v>
      </c>
      <c r="K28" s="250" t="str">
        <f>VLOOKUP($B28,Данные!$A$1:$U$1006,13,FALSE)</f>
        <v xml:space="preserve"> -60°...+50° С</v>
      </c>
      <c r="L28" s="250" t="str">
        <f>VLOOKUP($B28,Данные!$A$1:$U$1006,14,FALSE)</f>
        <v>100 000 ч.</v>
      </c>
      <c r="M28" s="250" t="str">
        <f>VLOOKUP($B28,Данные!$A$1:$U$1006,10,FALSE)</f>
        <v>624х262х82</v>
      </c>
      <c r="N28" s="250">
        <f>VLOOKUP($B28,Данные!$A$1:$U$1006,11,FALSE)</f>
        <v>0</v>
      </c>
      <c r="O28" s="93" t="str">
        <f>VLOOKUP($B28,Данные!$A$1:$U$1006,9,FALSE)</f>
        <v>-</v>
      </c>
      <c r="P28" s="74">
        <f>VLOOKUP($B28,Данные!$A$1:$U$1006,2,FALSE)</f>
        <v>248</v>
      </c>
      <c r="Q28" s="247">
        <f>VLOOKUP($B28,Данные!$A$1:$U$1006,3,FALSE)</f>
        <v>31000</v>
      </c>
      <c r="R28" s="90" t="str">
        <f>VLOOKUP($B28,Данные!$A$1:$U$1006,15,FALSE)</f>
        <v>4000К</v>
      </c>
      <c r="S28" s="90">
        <f>VLOOKUP($B28,Данные!$A$1:$U$1006,7,FALSE)</f>
        <v>67</v>
      </c>
      <c r="T28" s="247" t="str">
        <f>VLOOKUP($B28,Данные!$A$1:$U$1006,16,FALSE)</f>
        <v>3 года</v>
      </c>
      <c r="U28" s="408">
        <v>11440</v>
      </c>
    </row>
    <row r="29" spans="1:21" ht="69.900000000000006" customHeight="1">
      <c r="A29" s="365"/>
      <c r="B29" s="17" t="s">
        <v>468</v>
      </c>
      <c r="C29" s="185">
        <f>VLOOKUP(B29,Данные!A:Z,26,FALSE)</f>
        <v>9006</v>
      </c>
      <c r="D29" s="342" t="s">
        <v>515</v>
      </c>
      <c r="E29" s="344" t="str">
        <f>CONCATENATE(CONCATENATE($F$3,": ",$F29,CHAR(10),$H$3,": ",$H29,CHAR(10),$I$3,": ",$I29,CHAR(10),$J$3,": ",$J29,CHAR(10),$K$3,": ",$K29,CHAR(10),$L$3,": ",$L29,CHAR(10)),"*Цветовая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29" s="226" t="str">
        <f>VLOOKUP($B29,Данные!$A$1:$U$1006,6,FALSE)</f>
        <v>Л (полуширокая)</v>
      </c>
      <c r="G29" s="226">
        <f>VLOOKUP($B29,Данные!$A$1:$U$1006,8,FALSE)</f>
        <v>0</v>
      </c>
      <c r="H29" s="226" t="str">
        <f>VLOOKUP($B29,Данные!$A$1:$U$1006,12,FALSE)</f>
        <v>Экструдированный алюминиевый профиль (анодированный), прозрачное минеральное стекло**</v>
      </c>
      <c r="I29" s="226" t="str">
        <f>VLOOKUP($B29,Данные!$A$1:$U$1006,4,FALSE)</f>
        <v>176-264В AС</v>
      </c>
      <c r="J29" s="226">
        <f>VLOOKUP($B29,Данные!$A$1:$U$1006,5,FALSE)</f>
        <v>0.95</v>
      </c>
      <c r="K29" s="226" t="str">
        <f>VLOOKUP($B29,Данные!$A$1:$U$1006,13,FALSE)</f>
        <v xml:space="preserve"> -60°...+50° С</v>
      </c>
      <c r="L29" s="226" t="str">
        <f>VLOOKUP($B29,Данные!$A$1:$U$1006,14,FALSE)</f>
        <v>100 000 ч.</v>
      </c>
      <c r="M29" s="226" t="str">
        <f>VLOOKUP($B29,Данные!$A$1:$U$1006,10,FALSE)</f>
        <v>224x245x163</v>
      </c>
      <c r="N29" s="226">
        <f>VLOOKUP($B29,Данные!$A$1:$U$1006,11,FALSE)</f>
        <v>0</v>
      </c>
      <c r="O29" s="91" t="str">
        <f>VLOOKUP($B29,Данные!$A$1:$U$1006,9,FALSE)</f>
        <v>-</v>
      </c>
      <c r="P29" s="33">
        <f>VLOOKUP($B29,Данные!$A$1:$U$1006,2,FALSE)</f>
        <v>64</v>
      </c>
      <c r="Q29" s="223">
        <f>VLOOKUP($B29,Данные!$A$1:$U$1006,3,FALSE)</f>
        <v>8000</v>
      </c>
      <c r="R29" s="88" t="str">
        <f>VLOOKUP($B29,Данные!$A$1:$U$1006,15,FALSE)</f>
        <v>4000К</v>
      </c>
      <c r="S29" s="88">
        <f>VLOOKUP($B29,Данные!$A$1:$U$1006,7,FALSE)</f>
        <v>67</v>
      </c>
      <c r="T29" s="223" t="str">
        <f>VLOOKUP($B29,Данные!$A$1:$U$1006,16,FALSE)</f>
        <v>3 года</v>
      </c>
      <c r="U29" s="406">
        <v>4145</v>
      </c>
    </row>
    <row r="30" spans="1:21" ht="69.900000000000006" customHeight="1">
      <c r="A30" s="365"/>
      <c r="B30" s="18" t="s">
        <v>469</v>
      </c>
      <c r="C30" s="186">
        <f>VLOOKUP(B30,Данные!A:Z,26,FALSE)</f>
        <v>9012</v>
      </c>
      <c r="D30" s="337"/>
      <c r="E30" s="338" t="str">
        <f t="shared" ref="E30:E40" si="2">CONCATENATE(CONCATENATE($F$3,": ",$F30,CHAR(10),$G$3,": ",$G30,CHAR(10),$H$3,": ",$H30,CHAR(10),$I$3,": ",$I30,CHAR(10),$J$3,": ",$J30,CHAR(10),$K$3,": ",$K30,CHAR(10),$L$3,": ",$L30,CHAR(10)),CONCATENATE($M$3,": ",$M30,CHAR(10),$N$3,": ",$N30))</f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274x245x163
Вес, кг: 0</v>
      </c>
      <c r="F30" s="227" t="str">
        <f>VLOOKUP($B30,Данные!$A$1:$U$1006,6,FALSE)</f>
        <v>Л (полуширокая)</v>
      </c>
      <c r="G30" s="227">
        <f>VLOOKUP($B30,Данные!$A$1:$U$1006,8,FALSE)</f>
        <v>0</v>
      </c>
      <c r="H30" s="227" t="str">
        <f>VLOOKUP($B30,Данные!$A$1:$U$1006,12,FALSE)</f>
        <v>Экструдированный алюминиевый профиль (анодированный), прозрачное минеральное стекло**</v>
      </c>
      <c r="I30" s="227" t="str">
        <f>VLOOKUP($B30,Данные!$A$1:$U$1006,4,FALSE)</f>
        <v>176-264В AС</v>
      </c>
      <c r="J30" s="227">
        <f>VLOOKUP($B30,Данные!$A$1:$U$1006,5,FALSE)</f>
        <v>0.95</v>
      </c>
      <c r="K30" s="227" t="str">
        <f>VLOOKUP($B30,Данные!$A$1:$U$1006,13,FALSE)</f>
        <v xml:space="preserve"> -60°...+50° С</v>
      </c>
      <c r="L30" s="227" t="str">
        <f>VLOOKUP($B30,Данные!$A$1:$U$1006,14,FALSE)</f>
        <v>100 000 ч.</v>
      </c>
      <c r="M30" s="227" t="str">
        <f>VLOOKUP($B30,Данные!$A$1:$U$1006,10,FALSE)</f>
        <v>274x245x163</v>
      </c>
      <c r="N30" s="227">
        <f>VLOOKUP($B30,Данные!$A$1:$U$1006,11,FALSE)</f>
        <v>0</v>
      </c>
      <c r="O30" s="92" t="str">
        <f>VLOOKUP($B30,Данные!$A$1:$U$1006,9,FALSE)</f>
        <v>-</v>
      </c>
      <c r="P30" s="34">
        <f>VLOOKUP($B30,Данные!$A$1:$U$1006,2,FALSE)</f>
        <v>96</v>
      </c>
      <c r="Q30" s="224">
        <f>VLOOKUP($B30,Данные!$A$1:$U$1006,3,FALSE)</f>
        <v>12000</v>
      </c>
      <c r="R30" s="89" t="str">
        <f>VLOOKUP($B30,Данные!$A$1:$U$1006,15,FALSE)</f>
        <v>4000К</v>
      </c>
      <c r="S30" s="89">
        <f>VLOOKUP($B30,Данные!$A$1:$U$1006,7,FALSE)</f>
        <v>67</v>
      </c>
      <c r="T30" s="224" t="str">
        <f>VLOOKUP($B30,Данные!$A$1:$U$1006,16,FALSE)</f>
        <v>3 года</v>
      </c>
      <c r="U30" s="407">
        <v>5005</v>
      </c>
    </row>
    <row r="31" spans="1:21" ht="69.900000000000006" customHeight="1">
      <c r="A31" s="365"/>
      <c r="B31" s="18" t="s">
        <v>470</v>
      </c>
      <c r="C31" s="186">
        <f>VLOOKUP(B31,Данные!A:Z,26,FALSE)</f>
        <v>9018</v>
      </c>
      <c r="D31" s="337"/>
      <c r="E31" s="338"/>
      <c r="F31" s="227" t="str">
        <f>VLOOKUP($B31,Данные!$A$1:$U$1006,6,FALSE)</f>
        <v>Л (полуширокая)</v>
      </c>
      <c r="G31" s="227">
        <f>VLOOKUP($B31,Данные!$A$1:$U$1006,8,FALSE)</f>
        <v>0</v>
      </c>
      <c r="H31" s="227" t="str">
        <f>VLOOKUP($B31,Данные!$A$1:$U$1006,12,FALSE)</f>
        <v>Экструдированный алюминиевый профиль (анодированный), прозрачное минеральное стекло**</v>
      </c>
      <c r="I31" s="227" t="str">
        <f>VLOOKUP($B31,Данные!$A$1:$U$1006,4,FALSE)</f>
        <v>176-264В AС</v>
      </c>
      <c r="J31" s="227">
        <f>VLOOKUP($B31,Данные!$A$1:$U$1006,5,FALSE)</f>
        <v>0.95</v>
      </c>
      <c r="K31" s="227" t="str">
        <f>VLOOKUP($B31,Данные!$A$1:$U$1006,13,FALSE)</f>
        <v xml:space="preserve"> -60°...+50° С</v>
      </c>
      <c r="L31" s="227" t="str">
        <f>VLOOKUP($B31,Данные!$A$1:$U$1006,14,FALSE)</f>
        <v>100 000 ч.</v>
      </c>
      <c r="M31" s="227" t="str">
        <f>VLOOKUP($B31,Данные!$A$1:$U$1006,10,FALSE)</f>
        <v>324x245x163</v>
      </c>
      <c r="N31" s="227">
        <f>VLOOKUP($B31,Данные!$A$1:$U$1006,11,FALSE)</f>
        <v>0</v>
      </c>
      <c r="O31" s="92" t="str">
        <f>VLOOKUP($B31,Данные!$A$1:$U$1006,9,FALSE)</f>
        <v>-</v>
      </c>
      <c r="P31" s="34">
        <f>VLOOKUP($B31,Данные!$A$1:$U$1006,2,FALSE)</f>
        <v>124</v>
      </c>
      <c r="Q31" s="224">
        <f>VLOOKUP($B31,Данные!$A$1:$U$1006,3,FALSE)</f>
        <v>15500</v>
      </c>
      <c r="R31" s="89" t="str">
        <f>VLOOKUP($B31,Данные!$A$1:$U$1006,15,FALSE)</f>
        <v>4000К</v>
      </c>
      <c r="S31" s="89">
        <f>VLOOKUP($B31,Данные!$A$1:$U$1006,7,FALSE)</f>
        <v>67</v>
      </c>
      <c r="T31" s="224" t="str">
        <f>VLOOKUP($B31,Данные!$A$1:$U$1006,16,FALSE)</f>
        <v>3 года</v>
      </c>
      <c r="U31" s="407">
        <v>5720</v>
      </c>
    </row>
    <row r="32" spans="1:21" ht="69.900000000000006" customHeight="1">
      <c r="A32" s="365"/>
      <c r="B32" s="18" t="s">
        <v>471</v>
      </c>
      <c r="C32" s="186">
        <f>VLOOKUP(B32,Данные!A:Z,26,FALSE)</f>
        <v>9023</v>
      </c>
      <c r="D32" s="337"/>
      <c r="E32" s="338"/>
      <c r="F32" s="227" t="str">
        <f>VLOOKUP($B32,Данные!$A$1:$U$1006,6,FALSE)</f>
        <v>Л (полуширокая)</v>
      </c>
      <c r="G32" s="227">
        <f>VLOOKUP($B32,Данные!$A$1:$U$1006,8,FALSE)</f>
        <v>0</v>
      </c>
      <c r="H32" s="227" t="str">
        <f>VLOOKUP($B32,Данные!$A$1:$U$1006,12,FALSE)</f>
        <v>Экструдированный алюминиевый профиль (анодированный), прозрачное минеральное стекло**</v>
      </c>
      <c r="I32" s="227" t="str">
        <f>VLOOKUP($B32,Данные!$A$1:$U$1006,4,FALSE)</f>
        <v>176-264В AС</v>
      </c>
      <c r="J32" s="227">
        <f>VLOOKUP($B32,Данные!$A$1:$U$1006,5,FALSE)</f>
        <v>0.95</v>
      </c>
      <c r="K32" s="227" t="str">
        <f>VLOOKUP($B32,Данные!$A$1:$U$1006,13,FALSE)</f>
        <v xml:space="preserve"> -60°...+50° С</v>
      </c>
      <c r="L32" s="227" t="str">
        <f>VLOOKUP($B32,Данные!$A$1:$U$1006,14,FALSE)</f>
        <v>100 000 ч.</v>
      </c>
      <c r="M32" s="227" t="str">
        <f>VLOOKUP($B32,Данные!$A$1:$U$1006,10,FALSE)</f>
        <v>464х245х163</v>
      </c>
      <c r="N32" s="227">
        <f>VLOOKUP($B32,Данные!$A$1:$U$1006,11,FALSE)</f>
        <v>0</v>
      </c>
      <c r="O32" s="92" t="str">
        <f>VLOOKUP($B32,Данные!$A$1:$U$1006,9,FALSE)</f>
        <v>-</v>
      </c>
      <c r="P32" s="34">
        <f>VLOOKUP($B32,Данные!$A$1:$U$1006,2,FALSE)</f>
        <v>160</v>
      </c>
      <c r="Q32" s="224">
        <f>VLOOKUP($B32,Данные!$A$1:$U$1006,3,FALSE)</f>
        <v>20000</v>
      </c>
      <c r="R32" s="89" t="str">
        <f>VLOOKUP($B32,Данные!$A$1:$U$1006,15,FALSE)</f>
        <v>4000К</v>
      </c>
      <c r="S32" s="89">
        <f>VLOOKUP($B32,Данные!$A$1:$U$1006,7,FALSE)</f>
        <v>67</v>
      </c>
      <c r="T32" s="224" t="str">
        <f>VLOOKUP($B32,Данные!$A$1:$U$1006,16,FALSE)</f>
        <v>3 года</v>
      </c>
      <c r="U32" s="407">
        <v>8435</v>
      </c>
    </row>
    <row r="33" spans="1:21" ht="69.900000000000006" customHeight="1">
      <c r="A33" s="365"/>
      <c r="B33" s="18" t="s">
        <v>472</v>
      </c>
      <c r="C33" s="186">
        <f>VLOOKUP(B33,Данные!A:Z,26,FALSE)</f>
        <v>9034</v>
      </c>
      <c r="D33" s="337"/>
      <c r="E33" s="338" t="str">
        <f t="shared" si="2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524x245x163
Вес, кг: 0</v>
      </c>
      <c r="F33" s="227" t="str">
        <f>VLOOKUP($B33,Данные!$A$1:$U$1006,6,FALSE)</f>
        <v>Л (полуширокая)</v>
      </c>
      <c r="G33" s="227">
        <f>VLOOKUP($B33,Данные!$A$1:$U$1006,8,FALSE)</f>
        <v>0</v>
      </c>
      <c r="H33" s="227" t="str">
        <f>VLOOKUP($B33,Данные!$A$1:$U$1006,12,FALSE)</f>
        <v>Экструдированный алюминиевый профиль (анодированный), прозрачное минеральное стекло**</v>
      </c>
      <c r="I33" s="227" t="str">
        <f>VLOOKUP($B33,Данные!$A$1:$U$1006,4,FALSE)</f>
        <v>176-264В AС</v>
      </c>
      <c r="J33" s="227">
        <f>VLOOKUP($B33,Данные!$A$1:$U$1006,5,FALSE)</f>
        <v>0.95</v>
      </c>
      <c r="K33" s="227" t="str">
        <f>VLOOKUP($B33,Данные!$A$1:$U$1006,13,FALSE)</f>
        <v xml:space="preserve"> -60°...+50° С</v>
      </c>
      <c r="L33" s="227" t="str">
        <f>VLOOKUP($B33,Данные!$A$1:$U$1006,14,FALSE)</f>
        <v>100 000 ч.</v>
      </c>
      <c r="M33" s="227" t="str">
        <f>VLOOKUP($B33,Данные!$A$1:$U$1006,10,FALSE)</f>
        <v>524x245x163</v>
      </c>
      <c r="N33" s="227">
        <f>VLOOKUP($B33,Данные!$A$1:$U$1006,11,FALSE)</f>
        <v>0</v>
      </c>
      <c r="O33" s="92" t="str">
        <f>VLOOKUP($B33,Данные!$A$1:$U$1006,9,FALSE)</f>
        <v>-</v>
      </c>
      <c r="P33" s="34">
        <f>VLOOKUP($B33,Данные!$A$1:$U$1006,2,FALSE)</f>
        <v>192</v>
      </c>
      <c r="Q33" s="224">
        <f>VLOOKUP($B33,Данные!$A$1:$U$1006,3,FALSE)</f>
        <v>24000</v>
      </c>
      <c r="R33" s="89" t="str">
        <f>VLOOKUP($B33,Данные!$A$1:$U$1006,15,FALSE)</f>
        <v>4000К</v>
      </c>
      <c r="S33" s="89">
        <f>VLOOKUP($B33,Данные!$A$1:$U$1006,7,FALSE)</f>
        <v>67</v>
      </c>
      <c r="T33" s="224" t="str">
        <f>VLOOKUP($B33,Данные!$A$1:$U$1006,16,FALSE)</f>
        <v>3 года</v>
      </c>
      <c r="U33" s="407">
        <v>8725</v>
      </c>
    </row>
    <row r="34" spans="1:21" ht="69.900000000000006" customHeight="1" thickBot="1">
      <c r="A34" s="365"/>
      <c r="B34" s="15" t="s">
        <v>473</v>
      </c>
      <c r="C34" s="187">
        <f>VLOOKUP(B34,Данные!A:Z,26,FALSE)</f>
        <v>9039</v>
      </c>
      <c r="D34" s="343"/>
      <c r="E34" s="345" t="str">
        <f t="shared" si="2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624х245х163
Вес, кг: 0</v>
      </c>
      <c r="F34" s="228" t="str">
        <f>VLOOKUP($B34,Данные!$A$1:$U$1006,6,FALSE)</f>
        <v>Л (полуширокая)</v>
      </c>
      <c r="G34" s="228">
        <f>VLOOKUP($B34,Данные!$A$1:$U$1006,8,FALSE)</f>
        <v>0</v>
      </c>
      <c r="H34" s="228" t="str">
        <f>VLOOKUP($B34,Данные!$A$1:$U$1006,12,FALSE)</f>
        <v>Экструдированный алюминиевый профиль (анодированный), прозрачное минеральное стекло**</v>
      </c>
      <c r="I34" s="228" t="str">
        <f>VLOOKUP($B34,Данные!$A$1:$U$1006,4,FALSE)</f>
        <v>176-264В AС</v>
      </c>
      <c r="J34" s="228">
        <f>VLOOKUP($B34,Данные!$A$1:$U$1006,5,FALSE)</f>
        <v>0.95</v>
      </c>
      <c r="K34" s="228" t="str">
        <f>VLOOKUP($B34,Данные!$A$1:$U$1006,13,FALSE)</f>
        <v xml:space="preserve"> -60°...+50° С</v>
      </c>
      <c r="L34" s="228" t="str">
        <f>VLOOKUP($B34,Данные!$A$1:$U$1006,14,FALSE)</f>
        <v>100 000 ч.</v>
      </c>
      <c r="M34" s="228" t="str">
        <f>VLOOKUP($B34,Данные!$A$1:$U$1006,10,FALSE)</f>
        <v>624х245х163</v>
      </c>
      <c r="N34" s="228">
        <f>VLOOKUP($B34,Данные!$A$1:$U$1006,11,FALSE)</f>
        <v>0</v>
      </c>
      <c r="O34" s="93" t="str">
        <f>VLOOKUP($B34,Данные!$A$1:$U$1006,9,FALSE)</f>
        <v>-</v>
      </c>
      <c r="P34" s="74">
        <f>VLOOKUP($B34,Данные!$A$1:$U$1006,2,FALSE)</f>
        <v>248</v>
      </c>
      <c r="Q34" s="225">
        <f>VLOOKUP($B34,Данные!$A$1:$U$1006,3,FALSE)</f>
        <v>31000</v>
      </c>
      <c r="R34" s="90" t="str">
        <f>VLOOKUP($B34,Данные!$A$1:$U$1006,15,FALSE)</f>
        <v>4000К</v>
      </c>
      <c r="S34" s="90">
        <f>VLOOKUP($B34,Данные!$A$1:$U$1006,7,FALSE)</f>
        <v>67</v>
      </c>
      <c r="T34" s="225" t="str">
        <f>VLOOKUP($B34,Данные!$A$1:$U$1006,16,FALSE)</f>
        <v>3 года</v>
      </c>
      <c r="U34" s="408">
        <v>11440</v>
      </c>
    </row>
    <row r="35" spans="1:21" ht="69.900000000000006" customHeight="1">
      <c r="A35" s="349"/>
      <c r="B35" s="17" t="s">
        <v>474</v>
      </c>
      <c r="C35" s="185">
        <f>VLOOKUP(B35,Данные!A:Z,26,FALSE)</f>
        <v>9005</v>
      </c>
      <c r="D35" s="342" t="s">
        <v>515</v>
      </c>
      <c r="E35" s="344" t="str">
        <f>CONCATENATE(CONCATENATE($F$3,": ",$F35,CHAR(10),$H$3,": ",$H35,CHAR(10),$I$3,": ",$I35,CHAR(10),$J$3,": ",$J35,CHAR(10),$K$3,": ",$K35,CHAR(10),$L$3,": ",$L35,CHAR(10)),"*Цветовая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35" s="248" t="str">
        <f>VLOOKUP($B35,Данные!$A$1:$U$1006,6,FALSE)</f>
        <v>Л (полуширокая)</v>
      </c>
      <c r="G35" s="248">
        <f>VLOOKUP($B35,Данные!$A$1:$U$1006,8,FALSE)</f>
        <v>0</v>
      </c>
      <c r="H35" s="248" t="str">
        <f>VLOOKUP($B35,Данные!$A$1:$U$1006,12,FALSE)</f>
        <v>Экструдированный алюминиевый профиль (анодированный), прозрачное минеральное стекло**</v>
      </c>
      <c r="I35" s="248" t="str">
        <f>VLOOKUP($B35,Данные!$A$1:$U$1006,4,FALSE)</f>
        <v>176-264В AС</v>
      </c>
      <c r="J35" s="248">
        <f>VLOOKUP($B35,Данные!$A$1:$U$1006,5,FALSE)</f>
        <v>0.95</v>
      </c>
      <c r="K35" s="248" t="str">
        <f>VLOOKUP($B35,Данные!$A$1:$U$1006,13,FALSE)</f>
        <v xml:space="preserve"> -60°...+50° С</v>
      </c>
      <c r="L35" s="248" t="str">
        <f>VLOOKUP($B35,Данные!$A$1:$U$1006,14,FALSE)</f>
        <v>100 000 ч.</v>
      </c>
      <c r="M35" s="248" t="str">
        <f>VLOOKUP($B35,Данные!$A$1:$U$1006,10,FALSE)</f>
        <v>224х220х116</v>
      </c>
      <c r="N35" s="248">
        <f>VLOOKUP($B35,Данные!$A$1:$U$1006,11,FALSE)</f>
        <v>0</v>
      </c>
      <c r="O35" s="91" t="str">
        <f>VLOOKUP($B35,Данные!$A$1:$U$1006,9,FALSE)</f>
        <v>-</v>
      </c>
      <c r="P35" s="33">
        <f>VLOOKUP($B35,Данные!$A$1:$U$1006,2,FALSE)</f>
        <v>64</v>
      </c>
      <c r="Q35" s="245">
        <f>VLOOKUP($B35,Данные!$A$1:$U$1006,3,FALSE)</f>
        <v>8000</v>
      </c>
      <c r="R35" s="88" t="str">
        <f>VLOOKUP($B35,Данные!$A$1:$U$1006,15,FALSE)</f>
        <v>4000К</v>
      </c>
      <c r="S35" s="88">
        <f>VLOOKUP($B35,Данные!$A$1:$U$1006,7,FALSE)</f>
        <v>67</v>
      </c>
      <c r="T35" s="245" t="str">
        <f>VLOOKUP($B35,Данные!$A$1:$U$1006,16,FALSE)</f>
        <v>3 года</v>
      </c>
      <c r="U35" s="406">
        <v>4145</v>
      </c>
    </row>
    <row r="36" spans="1:21" ht="69.900000000000006" customHeight="1">
      <c r="A36" s="350"/>
      <c r="B36" s="18" t="s">
        <v>475</v>
      </c>
      <c r="C36" s="186">
        <f>VLOOKUP(B36,Данные!A:Z,26,FALSE)</f>
        <v>9011</v>
      </c>
      <c r="D36" s="337"/>
      <c r="E36" s="338" t="str">
        <f t="shared" si="2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274х220х116
Вес, кг: 0</v>
      </c>
      <c r="F36" s="249" t="str">
        <f>VLOOKUP($B36,Данные!$A$1:$U$1006,6,FALSE)</f>
        <v>Л (полуширокая)</v>
      </c>
      <c r="G36" s="249">
        <f>VLOOKUP($B36,Данные!$A$1:$U$1006,8,FALSE)</f>
        <v>0</v>
      </c>
      <c r="H36" s="249" t="str">
        <f>VLOOKUP($B36,Данные!$A$1:$U$1006,12,FALSE)</f>
        <v>Экструдированный алюминиевый профиль (анодированный), прозрачное минеральное стекло**</v>
      </c>
      <c r="I36" s="249" t="str">
        <f>VLOOKUP($B36,Данные!$A$1:$U$1006,4,FALSE)</f>
        <v>176-264В AС</v>
      </c>
      <c r="J36" s="249">
        <f>VLOOKUP($B36,Данные!$A$1:$U$1006,5,FALSE)</f>
        <v>0.95</v>
      </c>
      <c r="K36" s="249" t="str">
        <f>VLOOKUP($B36,Данные!$A$1:$U$1006,13,FALSE)</f>
        <v xml:space="preserve"> -60°...+50° С</v>
      </c>
      <c r="L36" s="249" t="str">
        <f>VLOOKUP($B36,Данные!$A$1:$U$1006,14,FALSE)</f>
        <v>100 000 ч.</v>
      </c>
      <c r="M36" s="249" t="str">
        <f>VLOOKUP($B36,Данные!$A$1:$U$1006,10,FALSE)</f>
        <v>274х220х116</v>
      </c>
      <c r="N36" s="249">
        <f>VLOOKUP($B36,Данные!$A$1:$U$1006,11,FALSE)</f>
        <v>0</v>
      </c>
      <c r="O36" s="92" t="str">
        <f>VLOOKUP($B36,Данные!$A$1:$U$1006,9,FALSE)</f>
        <v>-</v>
      </c>
      <c r="P36" s="34">
        <f>VLOOKUP($B36,Данные!$A$1:$U$1006,2,FALSE)</f>
        <v>96</v>
      </c>
      <c r="Q36" s="246">
        <f>VLOOKUP($B36,Данные!$A$1:$U$1006,3,FALSE)</f>
        <v>12000</v>
      </c>
      <c r="R36" s="89" t="str">
        <f>VLOOKUP($B36,Данные!$A$1:$U$1006,15,FALSE)</f>
        <v>4000К</v>
      </c>
      <c r="S36" s="89">
        <f>VLOOKUP($B36,Данные!$A$1:$U$1006,7,FALSE)</f>
        <v>67</v>
      </c>
      <c r="T36" s="246" t="str">
        <f>VLOOKUP($B36,Данные!$A$1:$U$1006,16,FALSE)</f>
        <v>3 года</v>
      </c>
      <c r="U36" s="407">
        <v>5005</v>
      </c>
    </row>
    <row r="37" spans="1:21" ht="69.900000000000006" customHeight="1">
      <c r="A37" s="350"/>
      <c r="B37" s="18" t="s">
        <v>476</v>
      </c>
      <c r="C37" s="186">
        <f>VLOOKUP(B37,Данные!A:Z,26,FALSE)</f>
        <v>9017</v>
      </c>
      <c r="D37" s="337"/>
      <c r="E37" s="338"/>
      <c r="F37" s="249" t="str">
        <f>VLOOKUP($B37,Данные!$A$1:$U$1006,6,FALSE)</f>
        <v>Л (полуширокая)</v>
      </c>
      <c r="G37" s="249">
        <f>VLOOKUP($B37,Данные!$A$1:$U$1006,8,FALSE)</f>
        <v>0</v>
      </c>
      <c r="H37" s="249" t="str">
        <f>VLOOKUP($B37,Данные!$A$1:$U$1006,12,FALSE)</f>
        <v>Экструдированный алюминиевый профиль (анодированный), прозрачное минеральное стекло**</v>
      </c>
      <c r="I37" s="249" t="str">
        <f>VLOOKUP($B37,Данные!$A$1:$U$1006,4,FALSE)</f>
        <v>176-264В AС</v>
      </c>
      <c r="J37" s="249">
        <f>VLOOKUP($B37,Данные!$A$1:$U$1006,5,FALSE)</f>
        <v>0.95</v>
      </c>
      <c r="K37" s="249" t="str">
        <f>VLOOKUP($B37,Данные!$A$1:$U$1006,13,FALSE)</f>
        <v xml:space="preserve"> -60°...+50° С</v>
      </c>
      <c r="L37" s="249" t="str">
        <f>VLOOKUP($B37,Данные!$A$1:$U$1006,14,FALSE)</f>
        <v>100 000 ч.</v>
      </c>
      <c r="M37" s="249" t="str">
        <f>VLOOKUP($B37,Данные!$A$1:$U$1006,10,FALSE)</f>
        <v>324х220х116</v>
      </c>
      <c r="N37" s="249">
        <f>VLOOKUP($B37,Данные!$A$1:$U$1006,11,FALSE)</f>
        <v>0</v>
      </c>
      <c r="O37" s="92" t="str">
        <f>VLOOKUP($B37,Данные!$A$1:$U$1006,9,FALSE)</f>
        <v>-</v>
      </c>
      <c r="P37" s="34">
        <f>VLOOKUP($B37,Данные!$A$1:$U$1006,2,FALSE)</f>
        <v>124</v>
      </c>
      <c r="Q37" s="246">
        <f>VLOOKUP($B37,Данные!$A$1:$U$1006,3,FALSE)</f>
        <v>15500</v>
      </c>
      <c r="R37" s="89" t="str">
        <f>VLOOKUP($B37,Данные!$A$1:$U$1006,15,FALSE)</f>
        <v>4000К</v>
      </c>
      <c r="S37" s="89">
        <f>VLOOKUP($B37,Данные!$A$1:$U$1006,7,FALSE)</f>
        <v>67</v>
      </c>
      <c r="T37" s="246" t="str">
        <f>VLOOKUP($B37,Данные!$A$1:$U$1006,16,FALSE)</f>
        <v>3 года</v>
      </c>
      <c r="U37" s="407">
        <v>5720</v>
      </c>
    </row>
    <row r="38" spans="1:21" ht="69.900000000000006" customHeight="1">
      <c r="A38" s="350"/>
      <c r="B38" s="18" t="s">
        <v>477</v>
      </c>
      <c r="C38" s="186">
        <f>VLOOKUP(B38,Данные!A:Z,26,FALSE)</f>
        <v>9024</v>
      </c>
      <c r="D38" s="337"/>
      <c r="E38" s="338"/>
      <c r="F38" s="249" t="str">
        <f>VLOOKUP($B38,Данные!$A$1:$U$1006,6,FALSE)</f>
        <v>Л (полуширокая)</v>
      </c>
      <c r="G38" s="249">
        <f>VLOOKUP($B38,Данные!$A$1:$U$1006,8,FALSE)</f>
        <v>0</v>
      </c>
      <c r="H38" s="249" t="str">
        <f>VLOOKUP($B38,Данные!$A$1:$U$1006,12,FALSE)</f>
        <v>Экструдированный алюминиевый профиль (анодированный), прозрачное минеральное стекло**</v>
      </c>
      <c r="I38" s="249" t="str">
        <f>VLOOKUP($B38,Данные!$A$1:$U$1006,4,FALSE)</f>
        <v>176-264В AС</v>
      </c>
      <c r="J38" s="249">
        <f>VLOOKUP($B38,Данные!$A$1:$U$1006,5,FALSE)</f>
        <v>0.95</v>
      </c>
      <c r="K38" s="249" t="str">
        <f>VLOOKUP($B38,Данные!$A$1:$U$1006,13,FALSE)</f>
        <v xml:space="preserve"> -60°...+50° С</v>
      </c>
      <c r="L38" s="249" t="str">
        <f>VLOOKUP($B38,Данные!$A$1:$U$1006,14,FALSE)</f>
        <v>100 000 ч.</v>
      </c>
      <c r="M38" s="249" t="str">
        <f>VLOOKUP($B38,Данные!$A$1:$U$1006,10,FALSE)</f>
        <v>464х220х116</v>
      </c>
      <c r="N38" s="249">
        <f>VLOOKUP($B38,Данные!$A$1:$U$1006,11,FALSE)</f>
        <v>0</v>
      </c>
      <c r="O38" s="92" t="str">
        <f>VLOOKUP($B38,Данные!$A$1:$U$1006,9,FALSE)</f>
        <v>-</v>
      </c>
      <c r="P38" s="34">
        <f>VLOOKUP($B38,Данные!$A$1:$U$1006,2,FALSE)</f>
        <v>160</v>
      </c>
      <c r="Q38" s="246">
        <f>VLOOKUP($B38,Данные!$A$1:$U$1006,3,FALSE)</f>
        <v>20000</v>
      </c>
      <c r="R38" s="89" t="str">
        <f>VLOOKUP($B38,Данные!$A$1:$U$1006,15,FALSE)</f>
        <v>4000К</v>
      </c>
      <c r="S38" s="89">
        <f>VLOOKUP($B38,Данные!$A$1:$U$1006,7,FALSE)</f>
        <v>67</v>
      </c>
      <c r="T38" s="246" t="str">
        <f>VLOOKUP($B38,Данные!$A$1:$U$1006,16,FALSE)</f>
        <v>3 года</v>
      </c>
      <c r="U38" s="407">
        <v>8435</v>
      </c>
    </row>
    <row r="39" spans="1:21" ht="69.900000000000006" customHeight="1">
      <c r="A39" s="350"/>
      <c r="B39" s="18" t="s">
        <v>478</v>
      </c>
      <c r="C39" s="186">
        <f>VLOOKUP(B39,Данные!A:Z,26,FALSE)</f>
        <v>9033</v>
      </c>
      <c r="D39" s="337"/>
      <c r="E39" s="338" t="str">
        <f t="shared" si="2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524х220х116
Вес, кг: 0</v>
      </c>
      <c r="F39" s="249" t="str">
        <f>VLOOKUP($B39,Данные!$A$1:$U$1006,6,FALSE)</f>
        <v>Л (полуширокая)</v>
      </c>
      <c r="G39" s="249">
        <f>VLOOKUP($B39,Данные!$A$1:$U$1006,8,FALSE)</f>
        <v>0</v>
      </c>
      <c r="H39" s="249" t="str">
        <f>VLOOKUP($B39,Данные!$A$1:$U$1006,12,FALSE)</f>
        <v>Экструдированный алюминиевый профиль (анодированный), прозрачное минеральное стекло**</v>
      </c>
      <c r="I39" s="249" t="str">
        <f>VLOOKUP($B39,Данные!$A$1:$U$1006,4,FALSE)</f>
        <v>176-264В AС</v>
      </c>
      <c r="J39" s="249">
        <f>VLOOKUP($B39,Данные!$A$1:$U$1006,5,FALSE)</f>
        <v>0.95</v>
      </c>
      <c r="K39" s="249" t="str">
        <f>VLOOKUP($B39,Данные!$A$1:$U$1006,13,FALSE)</f>
        <v xml:space="preserve"> -60°...+50° С</v>
      </c>
      <c r="L39" s="249" t="str">
        <f>VLOOKUP($B39,Данные!$A$1:$U$1006,14,FALSE)</f>
        <v>100 000 ч.</v>
      </c>
      <c r="M39" s="249" t="str">
        <f>VLOOKUP($B39,Данные!$A$1:$U$1006,10,FALSE)</f>
        <v>524х220х116</v>
      </c>
      <c r="N39" s="249">
        <f>VLOOKUP($B39,Данные!$A$1:$U$1006,11,FALSE)</f>
        <v>0</v>
      </c>
      <c r="O39" s="92" t="str">
        <f>VLOOKUP($B39,Данные!$A$1:$U$1006,9,FALSE)</f>
        <v>-</v>
      </c>
      <c r="P39" s="34">
        <f>VLOOKUP($B39,Данные!$A$1:$U$1006,2,FALSE)</f>
        <v>192</v>
      </c>
      <c r="Q39" s="246">
        <f>VLOOKUP($B39,Данные!$A$1:$U$1006,3,FALSE)</f>
        <v>24000</v>
      </c>
      <c r="R39" s="89" t="str">
        <f>VLOOKUP($B39,Данные!$A$1:$U$1006,15,FALSE)</f>
        <v>4000К</v>
      </c>
      <c r="S39" s="89">
        <f>VLOOKUP($B39,Данные!$A$1:$U$1006,7,FALSE)</f>
        <v>67</v>
      </c>
      <c r="T39" s="246" t="str">
        <f>VLOOKUP($B39,Данные!$A$1:$U$1006,16,FALSE)</f>
        <v>3 года</v>
      </c>
      <c r="U39" s="407">
        <v>8725</v>
      </c>
    </row>
    <row r="40" spans="1:21" ht="69.900000000000006" customHeight="1" thickBot="1">
      <c r="A40" s="351"/>
      <c r="B40" s="15" t="s">
        <v>479</v>
      </c>
      <c r="C40" s="187">
        <f>VLOOKUP(B40,Данные!A:Z,26,FALSE)</f>
        <v>9040</v>
      </c>
      <c r="D40" s="343"/>
      <c r="E40" s="345" t="str">
        <f t="shared" si="2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624х220х116
Вес, кг: 0</v>
      </c>
      <c r="F40" s="250" t="str">
        <f>VLOOKUP($B40,Данные!$A$1:$U$1006,6,FALSE)</f>
        <v>Л (полуширокая)</v>
      </c>
      <c r="G40" s="250">
        <f>VLOOKUP($B40,Данные!$A$1:$U$1006,8,FALSE)</f>
        <v>0</v>
      </c>
      <c r="H40" s="250" t="str">
        <f>VLOOKUP($B40,Данные!$A$1:$U$1006,12,FALSE)</f>
        <v>Экструдированный алюминиевый профиль (анодированный), прозрачное минеральное стекло**</v>
      </c>
      <c r="I40" s="250" t="str">
        <f>VLOOKUP($B40,Данные!$A$1:$U$1006,4,FALSE)</f>
        <v>176-264В AС</v>
      </c>
      <c r="J40" s="250">
        <f>VLOOKUP($B40,Данные!$A$1:$U$1006,5,FALSE)</f>
        <v>0.95</v>
      </c>
      <c r="K40" s="250" t="str">
        <f>VLOOKUP($B40,Данные!$A$1:$U$1006,13,FALSE)</f>
        <v xml:space="preserve"> -60°...+50° С</v>
      </c>
      <c r="L40" s="250" t="str">
        <f>VLOOKUP($B40,Данные!$A$1:$U$1006,14,FALSE)</f>
        <v>100 000 ч.</v>
      </c>
      <c r="M40" s="250" t="str">
        <f>VLOOKUP($B40,Данные!$A$1:$U$1006,10,FALSE)</f>
        <v>624х220х116</v>
      </c>
      <c r="N40" s="250">
        <f>VLOOKUP($B40,Данные!$A$1:$U$1006,11,FALSE)</f>
        <v>0</v>
      </c>
      <c r="O40" s="93" t="str">
        <f>VLOOKUP($B40,Данные!$A$1:$U$1006,9,FALSE)</f>
        <v>-</v>
      </c>
      <c r="P40" s="74">
        <f>VLOOKUP($B40,Данные!$A$1:$U$1006,2,FALSE)</f>
        <v>248</v>
      </c>
      <c r="Q40" s="247">
        <f>VLOOKUP($B40,Данные!$A$1:$U$1006,3,FALSE)</f>
        <v>31000</v>
      </c>
      <c r="R40" s="90" t="str">
        <f>VLOOKUP($B40,Данные!$A$1:$U$1006,15,FALSE)</f>
        <v>4000К</v>
      </c>
      <c r="S40" s="90">
        <f>VLOOKUP($B40,Данные!$A$1:$U$1006,7,FALSE)</f>
        <v>67</v>
      </c>
      <c r="T40" s="247" t="str">
        <f>VLOOKUP($B40,Данные!$A$1:$U$1006,16,FALSE)</f>
        <v>3 года</v>
      </c>
      <c r="U40" s="408">
        <v>11440</v>
      </c>
    </row>
    <row r="41" spans="1:21" ht="69.900000000000006" customHeight="1">
      <c r="A41" s="366"/>
      <c r="B41" s="17" t="s">
        <v>480</v>
      </c>
      <c r="C41" s="185">
        <f>VLOOKUP(B41,Данные!A:Z,26,FALSE)</f>
        <v>9053</v>
      </c>
      <c r="D41" s="342" t="s">
        <v>515</v>
      </c>
      <c r="E41" s="344" t="str">
        <f>CONCATENATE(CONCATENATE($F$3,": ",$F41,CHAR(10),$H$3,": ",$H41,CHAR(10),$I$3,": ",$I41,CHAR(10),$J$3,": ",$J41,CHAR(10),$K$3,": ",$K41,CHAR(10),$L$3,": ",$L41,CHAR(10)),"*Цветовая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41" s="226" t="str">
        <f>VLOOKUP($B41,Данные!$A$1:$U$1006,6,FALSE)</f>
        <v>Д (косинусная)</v>
      </c>
      <c r="G41" s="226">
        <f>VLOOKUP($B41,Данные!$A$1:$U$1006,8,FALSE)</f>
        <v>0</v>
      </c>
      <c r="H41" s="226" t="str">
        <f>VLOOKUP($B41,Данные!$A$1:$U$1006,12,FALSE)</f>
        <v>Экструдированный алюминиевый профиль (анодированный), прозрачное минеральное стекло**</v>
      </c>
      <c r="I41" s="226" t="str">
        <f>VLOOKUP($B41,Данные!$A$1:$U$1006,4,FALSE)</f>
        <v>176-264В AС</v>
      </c>
      <c r="J41" s="226">
        <f>VLOOKUP($B41,Данные!$A$1:$U$1006,5,FALSE)</f>
        <v>0.95</v>
      </c>
      <c r="K41" s="226" t="str">
        <f>VLOOKUP($B41,Данные!$A$1:$U$1006,13,FALSE)</f>
        <v xml:space="preserve"> -60°...+50° С</v>
      </c>
      <c r="L41" s="226" t="str">
        <f>VLOOKUP($B41,Данные!$A$1:$U$1006,14,FALSE)</f>
        <v>100 000 ч</v>
      </c>
      <c r="M41" s="226" t="str">
        <f>VLOOKUP($B41,Данные!$A$1:$U$1006,10,FALSE)</f>
        <v>224x320x147</v>
      </c>
      <c r="N41" s="226">
        <f>VLOOKUP($B41,Данные!$A$1:$U$1006,11,FALSE)</f>
        <v>0</v>
      </c>
      <c r="O41" s="91" t="str">
        <f>VLOOKUP($B41,Данные!$A$1:$U$1006,9,FALSE)</f>
        <v>-</v>
      </c>
      <c r="P41" s="33">
        <f>VLOOKUP($B41,Данные!$A$1:$U$1006,2,FALSE)</f>
        <v>96</v>
      </c>
      <c r="Q41" s="223">
        <f>VLOOKUP($B41,Данные!$A$1:$U$1006,3,FALSE)</f>
        <v>12000</v>
      </c>
      <c r="R41" s="88" t="str">
        <f>VLOOKUP($B41,Данные!$A$1:$U$1006,15,FALSE)</f>
        <v>4000К</v>
      </c>
      <c r="S41" s="88">
        <f>VLOOKUP($B41,Данные!$A$1:$U$1006,7,FALSE)</f>
        <v>67</v>
      </c>
      <c r="T41" s="223" t="str">
        <f>VLOOKUP($B41,Данные!$A$1:$U$1006,16,FALSE)</f>
        <v>3 года</v>
      </c>
      <c r="U41" s="406">
        <v>6220</v>
      </c>
    </row>
    <row r="42" spans="1:21" ht="69.900000000000006" customHeight="1">
      <c r="A42" s="366"/>
      <c r="B42" s="18" t="s">
        <v>481</v>
      </c>
      <c r="C42" s="186">
        <f>VLOOKUP(B42,Данные!A:Z,26,FALSE)</f>
        <v>9054</v>
      </c>
      <c r="D42" s="337"/>
      <c r="E42" s="338" t="str">
        <f t="shared" ref="E42:E52" si="3">CONCATENATE(CONCATENATE($F$3,": ",$F42,CHAR(10),$G$3,": ",$G42,CHAR(10),$H$3,": ",$H42,CHAR(10),$I$3,": ",$I42,CHAR(10),$J$3,": ",$J42,CHAR(10),$K$3,": ",$K42,CHAR(10),$L$3,": ",$L42,CHAR(10)),CONCATENATE($M$3,": ",$M42,CHAR(10),$N$3,": ",$N42))</f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274x320x147
Вес, кг: 0</v>
      </c>
      <c r="F42" s="227" t="str">
        <f>VLOOKUP($B42,Данные!$A$1:$U$1006,6,FALSE)</f>
        <v>Д (косинусная)</v>
      </c>
      <c r="G42" s="227">
        <f>VLOOKUP($B42,Данные!$A$1:$U$1006,8,FALSE)</f>
        <v>0</v>
      </c>
      <c r="H42" s="227" t="str">
        <f>VLOOKUP($B42,Данные!$A$1:$U$1006,12,FALSE)</f>
        <v>Экструдированный алюминиевый профиль (анодированный), прозрачное минеральное стекло**</v>
      </c>
      <c r="I42" s="227" t="str">
        <f>VLOOKUP($B42,Данные!$A$1:$U$1006,4,FALSE)</f>
        <v>176-264В AС</v>
      </c>
      <c r="J42" s="227">
        <f>VLOOKUP($B42,Данные!$A$1:$U$1006,5,FALSE)</f>
        <v>0.95</v>
      </c>
      <c r="K42" s="227" t="str">
        <f>VLOOKUP($B42,Данные!$A$1:$U$1006,13,FALSE)</f>
        <v xml:space="preserve"> -60°...+50° С</v>
      </c>
      <c r="L42" s="227" t="str">
        <f>VLOOKUP($B42,Данные!$A$1:$U$1006,14,FALSE)</f>
        <v>100 000 ч</v>
      </c>
      <c r="M42" s="227" t="str">
        <f>VLOOKUP($B42,Данные!$A$1:$U$1006,10,FALSE)</f>
        <v>274x320x147</v>
      </c>
      <c r="N42" s="227">
        <f>VLOOKUP($B42,Данные!$A$1:$U$1006,11,FALSE)</f>
        <v>0</v>
      </c>
      <c r="O42" s="92" t="str">
        <f>VLOOKUP($B42,Данные!$A$1:$U$1006,9,FALSE)</f>
        <v>-</v>
      </c>
      <c r="P42" s="34">
        <f>VLOOKUP($B42,Данные!$A$1:$U$1006,2,FALSE)</f>
        <v>144</v>
      </c>
      <c r="Q42" s="224">
        <f>VLOOKUP($B42,Данные!$A$1:$U$1006,3,FALSE)</f>
        <v>18000</v>
      </c>
      <c r="R42" s="89" t="str">
        <f>VLOOKUP($B42,Данные!$A$1:$U$1006,15,FALSE)</f>
        <v>4000К</v>
      </c>
      <c r="S42" s="89">
        <f>VLOOKUP($B42,Данные!$A$1:$U$1006,7,FALSE)</f>
        <v>67</v>
      </c>
      <c r="T42" s="224" t="str">
        <f>VLOOKUP($B42,Данные!$A$1:$U$1006,16,FALSE)</f>
        <v>3 года</v>
      </c>
      <c r="U42" s="407">
        <v>7510</v>
      </c>
    </row>
    <row r="43" spans="1:21" ht="69.900000000000006" customHeight="1">
      <c r="A43" s="366"/>
      <c r="B43" s="18" t="s">
        <v>482</v>
      </c>
      <c r="C43" s="186">
        <f>VLOOKUP(B43,Данные!A:Z,26,FALSE)</f>
        <v>9055</v>
      </c>
      <c r="D43" s="337"/>
      <c r="E43" s="338"/>
      <c r="F43" s="227" t="str">
        <f>VLOOKUP($B43,Данные!$A$1:$U$1006,6,FALSE)</f>
        <v>Д (косинусная)</v>
      </c>
      <c r="G43" s="227">
        <f>VLOOKUP($B43,Данные!$A$1:$U$1006,8,FALSE)</f>
        <v>0</v>
      </c>
      <c r="H43" s="227" t="str">
        <f>VLOOKUP($B43,Данные!$A$1:$U$1006,12,FALSE)</f>
        <v>Экструдированный алюминиевый профиль (анодированный), прозрачное минеральное стекло**</v>
      </c>
      <c r="I43" s="227" t="str">
        <f>VLOOKUP($B43,Данные!$A$1:$U$1006,4,FALSE)</f>
        <v>176-264В AС</v>
      </c>
      <c r="J43" s="227">
        <f>VLOOKUP($B43,Данные!$A$1:$U$1006,5,FALSE)</f>
        <v>0.95</v>
      </c>
      <c r="K43" s="227" t="str">
        <f>VLOOKUP($B43,Данные!$A$1:$U$1006,13,FALSE)</f>
        <v xml:space="preserve"> -60°...+50° С</v>
      </c>
      <c r="L43" s="227" t="str">
        <f>VLOOKUP($B43,Данные!$A$1:$U$1006,14,FALSE)</f>
        <v>100 000 ч</v>
      </c>
      <c r="M43" s="227" t="str">
        <f>VLOOKUP($B43,Данные!$A$1:$U$1006,10,FALSE)</f>
        <v>324x320x147</v>
      </c>
      <c r="N43" s="227">
        <f>VLOOKUP($B43,Данные!$A$1:$U$1006,11,FALSE)</f>
        <v>0</v>
      </c>
      <c r="O43" s="92" t="str">
        <f>VLOOKUP($B43,Данные!$A$1:$U$1006,9,FALSE)</f>
        <v>-</v>
      </c>
      <c r="P43" s="34">
        <f>VLOOKUP($B43,Данные!$A$1:$U$1006,2,FALSE)</f>
        <v>186</v>
      </c>
      <c r="Q43" s="224">
        <f>VLOOKUP($B43,Данные!$A$1:$U$1006,3,FALSE)</f>
        <v>23250</v>
      </c>
      <c r="R43" s="89" t="str">
        <f>VLOOKUP($B43,Данные!$A$1:$U$1006,15,FALSE)</f>
        <v>4000К</v>
      </c>
      <c r="S43" s="89">
        <f>VLOOKUP($B43,Данные!$A$1:$U$1006,7,FALSE)</f>
        <v>67</v>
      </c>
      <c r="T43" s="224" t="str">
        <f>VLOOKUP($B43,Данные!$A$1:$U$1006,16,FALSE)</f>
        <v>3 года</v>
      </c>
      <c r="U43" s="407">
        <v>8580</v>
      </c>
    </row>
    <row r="44" spans="1:21" ht="69.900000000000006" customHeight="1">
      <c r="A44" s="366"/>
      <c r="B44" s="18" t="s">
        <v>483</v>
      </c>
      <c r="C44" s="186">
        <f>VLOOKUP(B44,Данные!A:Z,26,FALSE)</f>
        <v>9025</v>
      </c>
      <c r="D44" s="337"/>
      <c r="E44" s="338"/>
      <c r="F44" s="227" t="str">
        <f>VLOOKUP($B44,Данные!$A$1:$U$1006,6,FALSE)</f>
        <v>Д (косинусная)</v>
      </c>
      <c r="G44" s="227">
        <f>VLOOKUP($B44,Данные!$A$1:$U$1006,8,FALSE)</f>
        <v>0</v>
      </c>
      <c r="H44" s="227" t="str">
        <f>VLOOKUP($B44,Данные!$A$1:$U$1006,12,FALSE)</f>
        <v>Экструдированный алюминиевый профиль (анодированный), прозрачное минеральное стекло**</v>
      </c>
      <c r="I44" s="227" t="str">
        <f>VLOOKUP($B44,Данные!$A$1:$U$1006,4,FALSE)</f>
        <v>176-264В AС</v>
      </c>
      <c r="J44" s="227">
        <f>VLOOKUP($B44,Данные!$A$1:$U$1006,5,FALSE)</f>
        <v>0.95</v>
      </c>
      <c r="K44" s="227" t="str">
        <f>VLOOKUP($B44,Данные!$A$1:$U$1006,13,FALSE)</f>
        <v xml:space="preserve"> -60°...+50° С</v>
      </c>
      <c r="L44" s="227" t="str">
        <f>VLOOKUP($B44,Данные!$A$1:$U$1006,14,FALSE)</f>
        <v>100 000 ч.</v>
      </c>
      <c r="M44" s="227" t="str">
        <f>VLOOKUP($B44,Данные!$A$1:$U$1006,10,FALSE)</f>
        <v>464х320х147</v>
      </c>
      <c r="N44" s="227">
        <f>VLOOKUP($B44,Данные!$A$1:$U$1006,11,FALSE)</f>
        <v>0</v>
      </c>
      <c r="O44" s="92" t="str">
        <f>VLOOKUP($B44,Данные!$A$1:$U$1006,9,FALSE)</f>
        <v>-</v>
      </c>
      <c r="P44" s="34">
        <f>VLOOKUP($B44,Данные!$A$1:$U$1006,2,FALSE)</f>
        <v>240</v>
      </c>
      <c r="Q44" s="224">
        <f>VLOOKUP($B44,Данные!$A$1:$U$1006,3,FALSE)</f>
        <v>30000</v>
      </c>
      <c r="R44" s="89" t="str">
        <f>VLOOKUP($B44,Данные!$A$1:$U$1006,15,FALSE)</f>
        <v>4000К</v>
      </c>
      <c r="S44" s="89">
        <f>VLOOKUP($B44,Данные!$A$1:$U$1006,7,FALSE)</f>
        <v>67</v>
      </c>
      <c r="T44" s="224" t="str">
        <f>VLOOKUP($B44,Данные!$A$1:$U$1006,16,FALSE)</f>
        <v>3 года</v>
      </c>
      <c r="U44" s="407">
        <v>12655</v>
      </c>
    </row>
    <row r="45" spans="1:21" ht="69.900000000000006" customHeight="1">
      <c r="A45" s="366"/>
      <c r="B45" s="18" t="s">
        <v>484</v>
      </c>
      <c r="C45" s="186">
        <f>VLOOKUP(B45,Данные!A:Z,26,FALSE)</f>
        <v>9056</v>
      </c>
      <c r="D45" s="337"/>
      <c r="E45" s="338" t="str">
        <f t="shared" si="3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524x320x147
Вес, кг: 0</v>
      </c>
      <c r="F45" s="227" t="str">
        <f>VLOOKUP($B45,Данные!$A$1:$U$1006,6,FALSE)</f>
        <v>Д (косинусная)</v>
      </c>
      <c r="G45" s="227">
        <f>VLOOKUP($B45,Данные!$A$1:$U$1006,8,FALSE)</f>
        <v>0</v>
      </c>
      <c r="H45" s="227" t="str">
        <f>VLOOKUP($B45,Данные!$A$1:$U$1006,12,FALSE)</f>
        <v>Экструдированный алюминиевый профиль (анодированный), прозрачное минеральное стекло**</v>
      </c>
      <c r="I45" s="227" t="str">
        <f>VLOOKUP($B45,Данные!$A$1:$U$1006,4,FALSE)</f>
        <v>176-264В AС</v>
      </c>
      <c r="J45" s="227">
        <f>VLOOKUP($B45,Данные!$A$1:$U$1006,5,FALSE)</f>
        <v>0.95</v>
      </c>
      <c r="K45" s="227" t="str">
        <f>VLOOKUP($B45,Данные!$A$1:$U$1006,13,FALSE)</f>
        <v xml:space="preserve"> -60°...+50° С</v>
      </c>
      <c r="L45" s="227" t="str">
        <f>VLOOKUP($B45,Данные!$A$1:$U$1006,14,FALSE)</f>
        <v>100 000 ч</v>
      </c>
      <c r="M45" s="227" t="str">
        <f>VLOOKUP($B45,Данные!$A$1:$U$1006,10,FALSE)</f>
        <v>524x320x147</v>
      </c>
      <c r="N45" s="227">
        <f>VLOOKUP($B45,Данные!$A$1:$U$1006,11,FALSE)</f>
        <v>0</v>
      </c>
      <c r="O45" s="92" t="str">
        <f>VLOOKUP($B45,Данные!$A$1:$U$1006,9,FALSE)</f>
        <v>-</v>
      </c>
      <c r="P45" s="34">
        <f>VLOOKUP($B45,Данные!$A$1:$U$1006,2,FALSE)</f>
        <v>288</v>
      </c>
      <c r="Q45" s="224">
        <f>VLOOKUP($B45,Данные!$A$1:$U$1006,3,FALSE)</f>
        <v>36000</v>
      </c>
      <c r="R45" s="89" t="str">
        <f>VLOOKUP($B45,Данные!$A$1:$U$1006,15,FALSE)</f>
        <v>4000К</v>
      </c>
      <c r="S45" s="89">
        <f>VLOOKUP($B45,Данные!$A$1:$U$1006,7,FALSE)</f>
        <v>67</v>
      </c>
      <c r="T45" s="224" t="str">
        <f>VLOOKUP($B45,Данные!$A$1:$U$1006,16,FALSE)</f>
        <v>3 года</v>
      </c>
      <c r="U45" s="407">
        <v>13085</v>
      </c>
    </row>
    <row r="46" spans="1:21" ht="69.900000000000006" customHeight="1" thickBot="1">
      <c r="A46" s="366"/>
      <c r="B46" s="15" t="s">
        <v>485</v>
      </c>
      <c r="C46" s="187">
        <f>VLOOKUP(B46,Данные!A:Z,26,FALSE)</f>
        <v>9041</v>
      </c>
      <c r="D46" s="343"/>
      <c r="E46" s="345" t="str">
        <f t="shared" si="3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624х320х147
Вес, кг: 0</v>
      </c>
      <c r="F46" s="228" t="str">
        <f>VLOOKUP($B46,Данные!$A$1:$U$1006,6,FALSE)</f>
        <v>Д (косинусная)</v>
      </c>
      <c r="G46" s="228">
        <f>VLOOKUP($B46,Данные!$A$1:$U$1006,8,FALSE)</f>
        <v>0</v>
      </c>
      <c r="H46" s="228" t="str">
        <f>VLOOKUP($B46,Данные!$A$1:$U$1006,12,FALSE)</f>
        <v>Экструдированный алюминиевый профиль (анодированный), прозрачное минеральное стекло**</v>
      </c>
      <c r="I46" s="228" t="str">
        <f>VLOOKUP($B46,Данные!$A$1:$U$1006,4,FALSE)</f>
        <v>176-264В AС</v>
      </c>
      <c r="J46" s="228">
        <f>VLOOKUP($B46,Данные!$A$1:$U$1006,5,FALSE)</f>
        <v>0.95</v>
      </c>
      <c r="K46" s="228" t="str">
        <f>VLOOKUP($B46,Данные!$A$1:$U$1006,13,FALSE)</f>
        <v xml:space="preserve"> -60°...+50° С</v>
      </c>
      <c r="L46" s="228" t="str">
        <f>VLOOKUP($B46,Данные!$A$1:$U$1006,14,FALSE)</f>
        <v>100 000 ч.</v>
      </c>
      <c r="M46" s="228" t="str">
        <f>VLOOKUP($B46,Данные!$A$1:$U$1006,10,FALSE)</f>
        <v>624х320х147</v>
      </c>
      <c r="N46" s="228">
        <f>VLOOKUP($B46,Данные!$A$1:$U$1006,11,FALSE)</f>
        <v>0</v>
      </c>
      <c r="O46" s="93" t="str">
        <f>VLOOKUP($B46,Данные!$A$1:$U$1006,9,FALSE)</f>
        <v>-</v>
      </c>
      <c r="P46" s="74">
        <f>VLOOKUP($B46,Данные!$A$1:$U$1006,2,FALSE)</f>
        <v>372</v>
      </c>
      <c r="Q46" s="225">
        <f>VLOOKUP($B46,Данные!$A$1:$U$1006,3,FALSE)</f>
        <v>46500</v>
      </c>
      <c r="R46" s="90" t="str">
        <f>VLOOKUP($B46,Данные!$A$1:$U$1006,15,FALSE)</f>
        <v>4000К</v>
      </c>
      <c r="S46" s="90">
        <f>VLOOKUP($B46,Данные!$A$1:$U$1006,7,FALSE)</f>
        <v>67</v>
      </c>
      <c r="T46" s="225" t="str">
        <f>VLOOKUP($B46,Данные!$A$1:$U$1006,16,FALSE)</f>
        <v>3 года</v>
      </c>
      <c r="U46" s="408">
        <v>17160</v>
      </c>
    </row>
    <row r="47" spans="1:21" ht="69.900000000000006" customHeight="1">
      <c r="A47" s="339"/>
      <c r="B47" s="17" t="s">
        <v>486</v>
      </c>
      <c r="C47" s="185">
        <f>VLOOKUP(B47,Данные!A:Z,26,FALSE)</f>
        <v>9061</v>
      </c>
      <c r="D47" s="342" t="s">
        <v>515</v>
      </c>
      <c r="E47" s="344" t="str">
        <f>CONCATENATE(CONCATENATE($F$3,": ",$F47,CHAR(10),$H$3,": ",$H47,CHAR(10),$I$3,": ",$I47,CHAR(10),$J$3,": ",$J47,CHAR(10),$K$3,": ",$K47,CHAR(10),$L$3,": ",$L47,CHAR(10)),"*Цветовая темп.:
 4000К;"," 
 **Рассеиватель: 
 - силикатное стекло.")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47" s="248" t="str">
        <f>VLOOKUP($B47,Данные!$A$1:$U$1006,6,FALSE)</f>
        <v>Д (косинусная)</v>
      </c>
      <c r="G47" s="248">
        <f>VLOOKUP($B47,Данные!$A$1:$U$1006,8,FALSE)</f>
        <v>0</v>
      </c>
      <c r="H47" s="248" t="str">
        <f>VLOOKUP($B47,Данные!$A$1:$U$1006,12,FALSE)</f>
        <v>Экструдированный алюминиевый профиль (анодированный), прозрачное минеральное стекло**</v>
      </c>
      <c r="I47" s="248" t="str">
        <f>VLOOKUP($B47,Данные!$A$1:$U$1006,4,FALSE)</f>
        <v>176-264В AС</v>
      </c>
      <c r="J47" s="248">
        <f>VLOOKUP($B47,Данные!$A$1:$U$1006,5,FALSE)</f>
        <v>0.95</v>
      </c>
      <c r="K47" s="248" t="str">
        <f>VLOOKUP($B47,Данные!$A$1:$U$1006,13,FALSE)</f>
        <v xml:space="preserve"> -60°...+50° С</v>
      </c>
      <c r="L47" s="248" t="str">
        <f>VLOOKUP($B47,Данные!$A$1:$U$1006,14,FALSE)</f>
        <v>100 000 ч</v>
      </c>
      <c r="M47" s="248" t="str">
        <f>VLOOKUP($B47,Данные!$A$1:$U$1006,10,FALSE)</f>
        <v>224x320x126</v>
      </c>
      <c r="N47" s="248">
        <f>VLOOKUP($B47,Данные!$A$1:$U$1006,11,FALSE)</f>
        <v>0</v>
      </c>
      <c r="O47" s="91" t="str">
        <f>VLOOKUP($B47,Данные!$A$1:$U$1006,9,FALSE)</f>
        <v>-</v>
      </c>
      <c r="P47" s="33">
        <f>VLOOKUP($B47,Данные!$A$1:$U$1006,2,FALSE)</f>
        <v>96</v>
      </c>
      <c r="Q47" s="245">
        <f>VLOOKUP($B47,Данные!$A$1:$U$1006,3,FALSE)</f>
        <v>12000</v>
      </c>
      <c r="R47" s="88" t="str">
        <f>VLOOKUP($B47,Данные!$A$1:$U$1006,15,FALSE)</f>
        <v>4000К</v>
      </c>
      <c r="S47" s="88">
        <f>VLOOKUP($B47,Данные!$A$1:$U$1006,7,FALSE)</f>
        <v>67</v>
      </c>
      <c r="T47" s="245" t="str">
        <f>VLOOKUP($B47,Данные!$A$1:$U$1006,16,FALSE)</f>
        <v>3 года</v>
      </c>
      <c r="U47" s="406">
        <v>6220</v>
      </c>
    </row>
    <row r="48" spans="1:21" ht="69.900000000000006" customHeight="1">
      <c r="A48" s="340"/>
      <c r="B48" s="18" t="s">
        <v>487</v>
      </c>
      <c r="C48" s="186">
        <f>VLOOKUP(B48,Данные!A:Z,26,FALSE)</f>
        <v>9062</v>
      </c>
      <c r="D48" s="337"/>
      <c r="E48" s="338" t="str">
        <f t="shared" si="3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274x320x126
Вес, кг: 0</v>
      </c>
      <c r="F48" s="249" t="str">
        <f>VLOOKUP($B48,Данные!$A$1:$U$1006,6,FALSE)</f>
        <v>Д (косинусная)</v>
      </c>
      <c r="G48" s="249">
        <f>VLOOKUP($B48,Данные!$A$1:$U$1006,8,FALSE)</f>
        <v>0</v>
      </c>
      <c r="H48" s="249" t="str">
        <f>VLOOKUP($B48,Данные!$A$1:$U$1006,12,FALSE)</f>
        <v>Экструдированный алюминиевый профиль (анодированный), прозрачное минеральное стекло**</v>
      </c>
      <c r="I48" s="249" t="str">
        <f>VLOOKUP($B48,Данные!$A$1:$U$1006,4,FALSE)</f>
        <v>176-264В AС</v>
      </c>
      <c r="J48" s="249">
        <f>VLOOKUP($B48,Данные!$A$1:$U$1006,5,FALSE)</f>
        <v>0.95</v>
      </c>
      <c r="K48" s="249" t="str">
        <f>VLOOKUP($B48,Данные!$A$1:$U$1006,13,FALSE)</f>
        <v xml:space="preserve"> -60°...+50° С</v>
      </c>
      <c r="L48" s="249" t="str">
        <f>VLOOKUP($B48,Данные!$A$1:$U$1006,14,FALSE)</f>
        <v>100 000 ч</v>
      </c>
      <c r="M48" s="249" t="str">
        <f>VLOOKUP($B48,Данные!$A$1:$U$1006,10,FALSE)</f>
        <v>274x320x126</v>
      </c>
      <c r="N48" s="249">
        <f>VLOOKUP($B48,Данные!$A$1:$U$1006,11,FALSE)</f>
        <v>0</v>
      </c>
      <c r="O48" s="92" t="str">
        <f>VLOOKUP($B48,Данные!$A$1:$U$1006,9,FALSE)</f>
        <v>-</v>
      </c>
      <c r="P48" s="34">
        <f>VLOOKUP($B48,Данные!$A$1:$U$1006,2,FALSE)</f>
        <v>144</v>
      </c>
      <c r="Q48" s="246">
        <f>VLOOKUP($B48,Данные!$A$1:$U$1006,3,FALSE)</f>
        <v>18000</v>
      </c>
      <c r="R48" s="89" t="str">
        <f>VLOOKUP($B48,Данные!$A$1:$U$1006,15,FALSE)</f>
        <v>4000К</v>
      </c>
      <c r="S48" s="89">
        <f>VLOOKUP($B48,Данные!$A$1:$U$1006,7,FALSE)</f>
        <v>67</v>
      </c>
      <c r="T48" s="246" t="str">
        <f>VLOOKUP($B48,Данные!$A$1:$U$1006,16,FALSE)</f>
        <v>3 года</v>
      </c>
      <c r="U48" s="407">
        <v>7510</v>
      </c>
    </row>
    <row r="49" spans="1:21" ht="69.900000000000006" customHeight="1">
      <c r="A49" s="340"/>
      <c r="B49" s="18" t="s">
        <v>488</v>
      </c>
      <c r="C49" s="186">
        <f>VLOOKUP(B49,Данные!A:Z,26,FALSE)</f>
        <v>9063</v>
      </c>
      <c r="D49" s="337"/>
      <c r="E49" s="338"/>
      <c r="F49" s="249" t="str">
        <f>VLOOKUP($B49,Данные!$A$1:$U$1006,6,FALSE)</f>
        <v>Д (косинусная)</v>
      </c>
      <c r="G49" s="249">
        <f>VLOOKUP($B49,Данные!$A$1:$U$1006,8,FALSE)</f>
        <v>0</v>
      </c>
      <c r="H49" s="249" t="str">
        <f>VLOOKUP($B49,Данные!$A$1:$U$1006,12,FALSE)</f>
        <v>Экструдированный алюминиевый профиль (анодированный), прозрачное минеральное стекло**</v>
      </c>
      <c r="I49" s="249" t="str">
        <f>VLOOKUP($B49,Данные!$A$1:$U$1006,4,FALSE)</f>
        <v>176-264В AС</v>
      </c>
      <c r="J49" s="249">
        <f>VLOOKUP($B49,Данные!$A$1:$U$1006,5,FALSE)</f>
        <v>0.95</v>
      </c>
      <c r="K49" s="249" t="str">
        <f>VLOOKUP($B49,Данные!$A$1:$U$1006,13,FALSE)</f>
        <v xml:space="preserve"> -60°...+50° С</v>
      </c>
      <c r="L49" s="249" t="str">
        <f>VLOOKUP($B49,Данные!$A$1:$U$1006,14,FALSE)</f>
        <v>100 000 ч</v>
      </c>
      <c r="M49" s="249" t="str">
        <f>VLOOKUP($B49,Данные!$A$1:$U$1006,10,FALSE)</f>
        <v>324x320x126</v>
      </c>
      <c r="N49" s="249">
        <f>VLOOKUP($B49,Данные!$A$1:$U$1006,11,FALSE)</f>
        <v>0</v>
      </c>
      <c r="O49" s="92" t="str">
        <f>VLOOKUP($B49,Данные!$A$1:$U$1006,9,FALSE)</f>
        <v>-</v>
      </c>
      <c r="P49" s="34">
        <f>VLOOKUP($B49,Данные!$A$1:$U$1006,2,FALSE)</f>
        <v>186</v>
      </c>
      <c r="Q49" s="246">
        <f>VLOOKUP($B49,Данные!$A$1:$U$1006,3,FALSE)</f>
        <v>23250</v>
      </c>
      <c r="R49" s="89" t="str">
        <f>VLOOKUP($B49,Данные!$A$1:$U$1006,15,FALSE)</f>
        <v>4000К</v>
      </c>
      <c r="S49" s="89">
        <f>VLOOKUP($B49,Данные!$A$1:$U$1006,7,FALSE)</f>
        <v>67</v>
      </c>
      <c r="T49" s="246" t="str">
        <f>VLOOKUP($B49,Данные!$A$1:$U$1006,16,FALSE)</f>
        <v>3 года</v>
      </c>
      <c r="U49" s="407">
        <v>8580</v>
      </c>
    </row>
    <row r="50" spans="1:21" ht="69.900000000000006" customHeight="1">
      <c r="A50" s="340"/>
      <c r="B50" s="18" t="s">
        <v>489</v>
      </c>
      <c r="C50" s="186">
        <f>VLOOKUP(B50,Данные!A:Z,26,FALSE)</f>
        <v>9026</v>
      </c>
      <c r="D50" s="337"/>
      <c r="E50" s="338"/>
      <c r="F50" s="249" t="str">
        <f>VLOOKUP($B50,Данные!$A$1:$U$1006,6,FALSE)</f>
        <v>Д (косинусная)</v>
      </c>
      <c r="G50" s="249">
        <f>VLOOKUP($B50,Данные!$A$1:$U$1006,8,FALSE)</f>
        <v>0</v>
      </c>
      <c r="H50" s="249" t="str">
        <f>VLOOKUP($B50,Данные!$A$1:$U$1006,12,FALSE)</f>
        <v>Экструдированный алюминиевый профиль (анодированный), прозрачное минеральное стекло**</v>
      </c>
      <c r="I50" s="249" t="str">
        <f>VLOOKUP($B50,Данные!$A$1:$U$1006,4,FALSE)</f>
        <v>176-264В AС</v>
      </c>
      <c r="J50" s="249">
        <f>VLOOKUP($B50,Данные!$A$1:$U$1006,5,FALSE)</f>
        <v>0.95</v>
      </c>
      <c r="K50" s="249" t="str">
        <f>VLOOKUP($B50,Данные!$A$1:$U$1006,13,FALSE)</f>
        <v xml:space="preserve"> -60°...+50° С</v>
      </c>
      <c r="L50" s="249" t="str">
        <f>VLOOKUP($B50,Данные!$A$1:$U$1006,14,FALSE)</f>
        <v>100 000 ч.</v>
      </c>
      <c r="M50" s="249" t="str">
        <f>VLOOKUP($B50,Данные!$A$1:$U$1006,10,FALSE)</f>
        <v>464х320х126</v>
      </c>
      <c r="N50" s="249">
        <f>VLOOKUP($B50,Данные!$A$1:$U$1006,11,FALSE)</f>
        <v>0</v>
      </c>
      <c r="O50" s="92" t="str">
        <f>VLOOKUP($B50,Данные!$A$1:$U$1006,9,FALSE)</f>
        <v>-</v>
      </c>
      <c r="P50" s="34">
        <f>VLOOKUP($B50,Данные!$A$1:$U$1006,2,FALSE)</f>
        <v>240</v>
      </c>
      <c r="Q50" s="246">
        <f>VLOOKUP($B50,Данные!$A$1:$U$1006,3,FALSE)</f>
        <v>30000</v>
      </c>
      <c r="R50" s="89" t="str">
        <f>VLOOKUP($B50,Данные!$A$1:$U$1006,15,FALSE)</f>
        <v>4000К</v>
      </c>
      <c r="S50" s="89">
        <f>VLOOKUP($B50,Данные!$A$1:$U$1006,7,FALSE)</f>
        <v>67</v>
      </c>
      <c r="T50" s="246" t="str">
        <f>VLOOKUP($B50,Данные!$A$1:$U$1006,16,FALSE)</f>
        <v>3 года</v>
      </c>
      <c r="U50" s="407">
        <v>12655</v>
      </c>
    </row>
    <row r="51" spans="1:21" ht="69.900000000000006" customHeight="1">
      <c r="A51" s="340"/>
      <c r="B51" s="18" t="s">
        <v>490</v>
      </c>
      <c r="C51" s="186">
        <f>VLOOKUP(B51,Данные!A:Z,26,FALSE)</f>
        <v>9064</v>
      </c>
      <c r="D51" s="337"/>
      <c r="E51" s="338" t="str">
        <f t="shared" si="3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524x320x126
Вес, кг: 0</v>
      </c>
      <c r="F51" s="249" t="str">
        <f>VLOOKUP($B51,Данные!$A$1:$U$1006,6,FALSE)</f>
        <v>Д (косинусная)</v>
      </c>
      <c r="G51" s="249">
        <f>VLOOKUP($B51,Данные!$A$1:$U$1006,8,FALSE)</f>
        <v>0</v>
      </c>
      <c r="H51" s="249" t="str">
        <f>VLOOKUP($B51,Данные!$A$1:$U$1006,12,FALSE)</f>
        <v>Экструдированный алюминиевый профиль (анодированный), прозрачное минеральное стекло**</v>
      </c>
      <c r="I51" s="249" t="str">
        <f>VLOOKUP($B51,Данные!$A$1:$U$1006,4,FALSE)</f>
        <v>176-264В AС</v>
      </c>
      <c r="J51" s="249">
        <f>VLOOKUP($B51,Данные!$A$1:$U$1006,5,FALSE)</f>
        <v>0.95</v>
      </c>
      <c r="K51" s="249" t="str">
        <f>VLOOKUP($B51,Данные!$A$1:$U$1006,13,FALSE)</f>
        <v xml:space="preserve"> -60°...+50° С</v>
      </c>
      <c r="L51" s="249" t="str">
        <f>VLOOKUP($B51,Данные!$A$1:$U$1006,14,FALSE)</f>
        <v>100 000 ч</v>
      </c>
      <c r="M51" s="249" t="str">
        <f>VLOOKUP($B51,Данные!$A$1:$U$1006,10,FALSE)</f>
        <v>524x320x126</v>
      </c>
      <c r="N51" s="249">
        <f>VLOOKUP($B51,Данные!$A$1:$U$1006,11,FALSE)</f>
        <v>0</v>
      </c>
      <c r="O51" s="92" t="str">
        <f>VLOOKUP($B51,Данные!$A$1:$U$1006,9,FALSE)</f>
        <v>-</v>
      </c>
      <c r="P51" s="34">
        <f>VLOOKUP($B51,Данные!$A$1:$U$1006,2,FALSE)</f>
        <v>288</v>
      </c>
      <c r="Q51" s="246">
        <f>VLOOKUP($B51,Данные!$A$1:$U$1006,3,FALSE)</f>
        <v>36000</v>
      </c>
      <c r="R51" s="89" t="str">
        <f>VLOOKUP($B51,Данные!$A$1:$U$1006,15,FALSE)</f>
        <v>4000К</v>
      </c>
      <c r="S51" s="89">
        <f>VLOOKUP($B51,Данные!$A$1:$U$1006,7,FALSE)</f>
        <v>67</v>
      </c>
      <c r="T51" s="246" t="str">
        <f>VLOOKUP($B51,Данные!$A$1:$U$1006,16,FALSE)</f>
        <v>3 года</v>
      </c>
      <c r="U51" s="407">
        <v>13085</v>
      </c>
    </row>
    <row r="52" spans="1:21" ht="69.900000000000006" customHeight="1" thickBot="1">
      <c r="A52" s="341"/>
      <c r="B52" s="15" t="s">
        <v>491</v>
      </c>
      <c r="C52" s="187">
        <f>VLOOKUP(B52,Данные!A:Z,26,FALSE)</f>
        <v>9042</v>
      </c>
      <c r="D52" s="343"/>
      <c r="E52" s="345" t="str">
        <f t="shared" si="3"/>
        <v>КСС: Д (косинусная)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624х320х126
Вес, кг: 0</v>
      </c>
      <c r="F52" s="250" t="str">
        <f>VLOOKUP($B52,Данные!$A$1:$U$1006,6,FALSE)</f>
        <v>Д (косинусная)</v>
      </c>
      <c r="G52" s="250">
        <f>VLOOKUP($B52,Данные!$A$1:$U$1006,8,FALSE)</f>
        <v>0</v>
      </c>
      <c r="H52" s="250" t="str">
        <f>VLOOKUP($B52,Данные!$A$1:$U$1006,12,FALSE)</f>
        <v>Экструдированный алюминиевый профиль (анодированный), прозрачное минеральное стекло**</v>
      </c>
      <c r="I52" s="250" t="str">
        <f>VLOOKUP($B52,Данные!$A$1:$U$1006,4,FALSE)</f>
        <v>176-264В AС</v>
      </c>
      <c r="J52" s="250">
        <f>VLOOKUP($B52,Данные!$A$1:$U$1006,5,FALSE)</f>
        <v>0.95</v>
      </c>
      <c r="K52" s="250" t="str">
        <f>VLOOKUP($B52,Данные!$A$1:$U$1006,13,FALSE)</f>
        <v xml:space="preserve"> -60°...+50° С</v>
      </c>
      <c r="L52" s="250" t="str">
        <f>VLOOKUP($B52,Данные!$A$1:$U$1006,14,FALSE)</f>
        <v>100 000 ч.</v>
      </c>
      <c r="M52" s="250" t="str">
        <f>VLOOKUP($B52,Данные!$A$1:$U$1006,10,FALSE)</f>
        <v>624х320х126</v>
      </c>
      <c r="N52" s="250">
        <f>VLOOKUP($B52,Данные!$A$1:$U$1006,11,FALSE)</f>
        <v>0</v>
      </c>
      <c r="O52" s="93" t="str">
        <f>VLOOKUP($B52,Данные!$A$1:$U$1006,9,FALSE)</f>
        <v>-</v>
      </c>
      <c r="P52" s="74">
        <f>VLOOKUP($B52,Данные!$A$1:$U$1006,2,FALSE)</f>
        <v>372</v>
      </c>
      <c r="Q52" s="247">
        <f>VLOOKUP($B52,Данные!$A$1:$U$1006,3,FALSE)</f>
        <v>46500</v>
      </c>
      <c r="R52" s="90" t="str">
        <f>VLOOKUP($B52,Данные!$A$1:$U$1006,15,FALSE)</f>
        <v>4000К</v>
      </c>
      <c r="S52" s="90">
        <f>VLOOKUP($B52,Данные!$A$1:$U$1006,7,FALSE)</f>
        <v>67</v>
      </c>
      <c r="T52" s="247" t="str">
        <f>VLOOKUP($B52,Данные!$A$1:$U$1006,16,FALSE)</f>
        <v>3 года</v>
      </c>
      <c r="U52" s="408">
        <v>17160</v>
      </c>
    </row>
    <row r="53" spans="1:21" ht="69.900000000000006" customHeight="1">
      <c r="A53" s="366"/>
      <c r="B53" s="17" t="s">
        <v>492</v>
      </c>
      <c r="C53" s="185">
        <f>VLOOKUP(B53,Данные!A:Z,26,FALSE)</f>
        <v>9057</v>
      </c>
      <c r="D53" s="342" t="s">
        <v>515</v>
      </c>
      <c r="E53" s="344" t="str">
        <f>CONCATENATE(CONCATENATE($F$3,": ",$F53,CHAR(10),$H$3,": ",$H53,CHAR(10),$I$3,": ",$I53,CHAR(10),$J$3,": ",$J53,CHAR(10),$K$3,": ",$K53,CHAR(10),$L$3,": ",$L53,CHAR(10)),"*Цветовая темп.:
 4000К;"," 
 **Рассеиватель: 
 - силикатное стекло.
")</f>
        <v xml:space="preserve"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
</v>
      </c>
      <c r="F53" s="226" t="str">
        <f>VLOOKUP($B53,Данные!$A$1:$U$1006,6,FALSE)</f>
        <v>Л (полуширокая)</v>
      </c>
      <c r="G53" s="226">
        <f>VLOOKUP($B53,Данные!$A$1:$U$1006,8,FALSE)</f>
        <v>0</v>
      </c>
      <c r="H53" s="226" t="str">
        <f>VLOOKUP($B53,Данные!$A$1:$U$1006,12,FALSE)</f>
        <v>Экструдированный алюминиевый профиль (анодированный), прозрачное минеральное стекло**</v>
      </c>
      <c r="I53" s="226" t="str">
        <f>VLOOKUP($B53,Данные!$A$1:$U$1006,4,FALSE)</f>
        <v>176-264В AС</v>
      </c>
      <c r="J53" s="226">
        <f>VLOOKUP($B53,Данные!$A$1:$U$1006,5,FALSE)</f>
        <v>0.95</v>
      </c>
      <c r="K53" s="226" t="str">
        <f>VLOOKUP($B53,Данные!$A$1:$U$1006,13,FALSE)</f>
        <v xml:space="preserve"> -60°...+50° С</v>
      </c>
      <c r="L53" s="226" t="str">
        <f>VLOOKUP($B53,Данные!$A$1:$U$1006,14,FALSE)</f>
        <v>100 000 ч</v>
      </c>
      <c r="M53" s="226" t="str">
        <f>VLOOKUP($B53,Данные!$A$1:$U$1006,10,FALSE)</f>
        <v>224x326x147</v>
      </c>
      <c r="N53" s="226">
        <f>VLOOKUP($B53,Данные!$A$1:$U$1006,11,FALSE)</f>
        <v>0</v>
      </c>
      <c r="O53" s="91" t="str">
        <f>VLOOKUP($B53,Данные!$A$1:$U$1006,9,FALSE)</f>
        <v>-</v>
      </c>
      <c r="P53" s="33">
        <f>VLOOKUP($B53,Данные!$A$1:$U$1006,2,FALSE)</f>
        <v>96</v>
      </c>
      <c r="Q53" s="223">
        <f>VLOOKUP($B53,Данные!$A$1:$U$1006,3,FALSE)</f>
        <v>12000</v>
      </c>
      <c r="R53" s="88" t="str">
        <f>VLOOKUP($B53,Данные!$A$1:$U$1006,15,FALSE)</f>
        <v>4000К</v>
      </c>
      <c r="S53" s="88">
        <f>VLOOKUP($B53,Данные!$A$1:$U$1006,7,FALSE)</f>
        <v>67</v>
      </c>
      <c r="T53" s="223" t="str">
        <f>VLOOKUP($B53,Данные!$A$1:$U$1006,16,FALSE)</f>
        <v>3 года</v>
      </c>
      <c r="U53" s="406">
        <v>6220</v>
      </c>
    </row>
    <row r="54" spans="1:21" ht="69.900000000000006" customHeight="1">
      <c r="A54" s="366"/>
      <c r="B54" s="18" t="s">
        <v>493</v>
      </c>
      <c r="C54" s="186">
        <f>VLOOKUP(B54,Данные!A:Z,26,FALSE)</f>
        <v>9058</v>
      </c>
      <c r="D54" s="337"/>
      <c r="E54" s="338" t="str">
        <f t="shared" ref="E54:E64" si="4">CONCATENATE(CONCATENATE($F$3,": ",$F54,CHAR(10),$G$3,": ",$G54,CHAR(10),$H$3,": ",$H54,CHAR(10),$I$3,": ",$I54,CHAR(10),$J$3,": ",$J54,CHAR(10),$K$3,": ",$K54,CHAR(10),$L$3,": ",$L54,CHAR(10)),CONCATENATE($M$3,": ",$M54,CHAR(10),$N$3,": ",$N54))</f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274x326x147
Вес, кг: 0</v>
      </c>
      <c r="F54" s="227" t="str">
        <f>VLOOKUP($B54,Данные!$A$1:$U$1006,6,FALSE)</f>
        <v>Л (полуширокая)</v>
      </c>
      <c r="G54" s="227">
        <f>VLOOKUP($B54,Данные!$A$1:$U$1006,8,FALSE)</f>
        <v>0</v>
      </c>
      <c r="H54" s="227" t="str">
        <f>VLOOKUP($B54,Данные!$A$1:$U$1006,12,FALSE)</f>
        <v>Экструдированный алюминиевый профиль (анодированный), прозрачное минеральное стекло**</v>
      </c>
      <c r="I54" s="227" t="str">
        <f>VLOOKUP($B54,Данные!$A$1:$U$1006,4,FALSE)</f>
        <v>176-264В AС</v>
      </c>
      <c r="J54" s="227">
        <f>VLOOKUP($B54,Данные!$A$1:$U$1006,5,FALSE)</f>
        <v>0.95</v>
      </c>
      <c r="K54" s="227" t="str">
        <f>VLOOKUP($B54,Данные!$A$1:$U$1006,13,FALSE)</f>
        <v xml:space="preserve"> -60°...+50° С</v>
      </c>
      <c r="L54" s="227" t="str">
        <f>VLOOKUP($B54,Данные!$A$1:$U$1006,14,FALSE)</f>
        <v>100 000 ч</v>
      </c>
      <c r="M54" s="227" t="str">
        <f>VLOOKUP($B54,Данные!$A$1:$U$1006,10,FALSE)</f>
        <v>274x326x147</v>
      </c>
      <c r="N54" s="227">
        <f>VLOOKUP($B54,Данные!$A$1:$U$1006,11,FALSE)</f>
        <v>0</v>
      </c>
      <c r="O54" s="92" t="str">
        <f>VLOOKUP($B54,Данные!$A$1:$U$1006,9,FALSE)</f>
        <v>-</v>
      </c>
      <c r="P54" s="34">
        <f>VLOOKUP($B54,Данные!$A$1:$U$1006,2,FALSE)</f>
        <v>144</v>
      </c>
      <c r="Q54" s="224">
        <f>VLOOKUP($B54,Данные!$A$1:$U$1006,3,FALSE)</f>
        <v>18000</v>
      </c>
      <c r="R54" s="89" t="str">
        <f>VLOOKUP($B54,Данные!$A$1:$U$1006,15,FALSE)</f>
        <v>4000К</v>
      </c>
      <c r="S54" s="89">
        <f>VLOOKUP($B54,Данные!$A$1:$U$1006,7,FALSE)</f>
        <v>67</v>
      </c>
      <c r="T54" s="224" t="str">
        <f>VLOOKUP($B54,Данные!$A$1:$U$1006,16,FALSE)</f>
        <v>3 года</v>
      </c>
      <c r="U54" s="407">
        <v>7510</v>
      </c>
    </row>
    <row r="55" spans="1:21" ht="69.900000000000006" customHeight="1">
      <c r="A55" s="366"/>
      <c r="B55" s="18" t="s">
        <v>494</v>
      </c>
      <c r="C55" s="186">
        <f>VLOOKUP(B55,Данные!A:Z,26,FALSE)</f>
        <v>9059</v>
      </c>
      <c r="D55" s="337"/>
      <c r="E55" s="338"/>
      <c r="F55" s="227" t="str">
        <f>VLOOKUP($B55,Данные!$A$1:$U$1006,6,FALSE)</f>
        <v>Л (полуширокая)</v>
      </c>
      <c r="G55" s="227">
        <f>VLOOKUP($B55,Данные!$A$1:$U$1006,8,FALSE)</f>
        <v>0</v>
      </c>
      <c r="H55" s="227" t="str">
        <f>VLOOKUP($B55,Данные!$A$1:$U$1006,12,FALSE)</f>
        <v>Экструдированный алюминиевый профиль (анодированный), прозрачное минеральное стекло**</v>
      </c>
      <c r="I55" s="227" t="str">
        <f>VLOOKUP($B55,Данные!$A$1:$U$1006,4,FALSE)</f>
        <v>176-264В AС</v>
      </c>
      <c r="J55" s="227">
        <f>VLOOKUP($B55,Данные!$A$1:$U$1006,5,FALSE)</f>
        <v>0.95</v>
      </c>
      <c r="K55" s="227" t="str">
        <f>VLOOKUP($B55,Данные!$A$1:$U$1006,13,FALSE)</f>
        <v xml:space="preserve"> -60°...+50° С</v>
      </c>
      <c r="L55" s="227" t="str">
        <f>VLOOKUP($B55,Данные!$A$1:$U$1006,14,FALSE)</f>
        <v>100 000 ч</v>
      </c>
      <c r="M55" s="227" t="str">
        <f>VLOOKUP($B55,Данные!$A$1:$U$1006,10,FALSE)</f>
        <v>324x326x147</v>
      </c>
      <c r="N55" s="227">
        <f>VLOOKUP($B55,Данные!$A$1:$U$1006,11,FALSE)</f>
        <v>0</v>
      </c>
      <c r="O55" s="92" t="str">
        <f>VLOOKUP($B55,Данные!$A$1:$U$1006,9,FALSE)</f>
        <v>-</v>
      </c>
      <c r="P55" s="34">
        <f>VLOOKUP($B55,Данные!$A$1:$U$1006,2,FALSE)</f>
        <v>186</v>
      </c>
      <c r="Q55" s="224">
        <f>VLOOKUP($B55,Данные!$A$1:$U$1006,3,FALSE)</f>
        <v>23250</v>
      </c>
      <c r="R55" s="89" t="str">
        <f>VLOOKUP($B55,Данные!$A$1:$U$1006,15,FALSE)</f>
        <v>4000К</v>
      </c>
      <c r="S55" s="89">
        <f>VLOOKUP($B55,Данные!$A$1:$U$1006,7,FALSE)</f>
        <v>67</v>
      </c>
      <c r="T55" s="224" t="str">
        <f>VLOOKUP($B55,Данные!$A$1:$U$1006,16,FALSE)</f>
        <v>3 года</v>
      </c>
      <c r="U55" s="407">
        <v>9440</v>
      </c>
    </row>
    <row r="56" spans="1:21" ht="69.900000000000006" customHeight="1">
      <c r="A56" s="366"/>
      <c r="B56" s="18" t="s">
        <v>495</v>
      </c>
      <c r="C56" s="186">
        <f>VLOOKUP(B56,Данные!A:Z,26,FALSE)</f>
        <v>9027</v>
      </c>
      <c r="D56" s="337"/>
      <c r="E56" s="338"/>
      <c r="F56" s="227" t="str">
        <f>VLOOKUP($B56,Данные!$A$1:$U$1006,6,FALSE)</f>
        <v>Л (полуширокая)</v>
      </c>
      <c r="G56" s="227">
        <f>VLOOKUP($B56,Данные!$A$1:$U$1006,8,FALSE)</f>
        <v>0</v>
      </c>
      <c r="H56" s="227" t="str">
        <f>VLOOKUP($B56,Данные!$A$1:$U$1006,12,FALSE)</f>
        <v>Экструдированный алюминиевый профиль (анодированный), прозрачное минеральное стекло**</v>
      </c>
      <c r="I56" s="227" t="str">
        <f>VLOOKUP($B56,Данные!$A$1:$U$1006,4,FALSE)</f>
        <v>176-264В AС</v>
      </c>
      <c r="J56" s="227">
        <f>VLOOKUP($B56,Данные!$A$1:$U$1006,5,FALSE)</f>
        <v>0.95</v>
      </c>
      <c r="K56" s="227" t="str">
        <f>VLOOKUP($B56,Данные!$A$1:$U$1006,13,FALSE)</f>
        <v xml:space="preserve"> -60°...+50° С</v>
      </c>
      <c r="L56" s="227" t="str">
        <f>VLOOKUP($B56,Данные!$A$1:$U$1006,14,FALSE)</f>
        <v>100 000 ч.</v>
      </c>
      <c r="M56" s="227" t="str">
        <f>VLOOKUP($B56,Данные!$A$1:$U$1006,10,FALSE)</f>
        <v>464х326х147</v>
      </c>
      <c r="N56" s="227">
        <f>VLOOKUP($B56,Данные!$A$1:$U$1006,11,FALSE)</f>
        <v>0</v>
      </c>
      <c r="O56" s="92" t="str">
        <f>VLOOKUP($B56,Данные!$A$1:$U$1006,9,FALSE)</f>
        <v>-</v>
      </c>
      <c r="P56" s="34">
        <f>VLOOKUP($B56,Данные!$A$1:$U$1006,2,FALSE)</f>
        <v>240</v>
      </c>
      <c r="Q56" s="224">
        <f>VLOOKUP($B56,Данные!$A$1:$U$1006,3,FALSE)</f>
        <v>30000</v>
      </c>
      <c r="R56" s="89" t="str">
        <f>VLOOKUP($B56,Данные!$A$1:$U$1006,15,FALSE)</f>
        <v>4000К</v>
      </c>
      <c r="S56" s="89">
        <f>VLOOKUP($B56,Данные!$A$1:$U$1006,7,FALSE)</f>
        <v>67</v>
      </c>
      <c r="T56" s="224" t="str">
        <f>VLOOKUP($B56,Данные!$A$1:$U$1006,16,FALSE)</f>
        <v>3 года</v>
      </c>
      <c r="U56" s="407">
        <v>12655</v>
      </c>
    </row>
    <row r="57" spans="1:21" ht="69.900000000000006" customHeight="1">
      <c r="A57" s="366"/>
      <c r="B57" s="18" t="s">
        <v>496</v>
      </c>
      <c r="C57" s="186">
        <f>VLOOKUP(B57,Данные!A:Z,26,FALSE)</f>
        <v>9060</v>
      </c>
      <c r="D57" s="337"/>
      <c r="E57" s="338" t="str">
        <f t="shared" si="4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524x326x147
Вес, кг: 0</v>
      </c>
      <c r="F57" s="227" t="str">
        <f>VLOOKUP($B57,Данные!$A$1:$U$1006,6,FALSE)</f>
        <v>Л (полуширокая)</v>
      </c>
      <c r="G57" s="227">
        <f>VLOOKUP($B57,Данные!$A$1:$U$1006,8,FALSE)</f>
        <v>0</v>
      </c>
      <c r="H57" s="227" t="str">
        <f>VLOOKUP($B57,Данные!$A$1:$U$1006,12,FALSE)</f>
        <v>Экструдированный алюминиевый профиль (анодированный), прозрачное минеральное стекло**</v>
      </c>
      <c r="I57" s="227" t="str">
        <f>VLOOKUP($B57,Данные!$A$1:$U$1006,4,FALSE)</f>
        <v>176-264В AС</v>
      </c>
      <c r="J57" s="227">
        <f>VLOOKUP($B57,Данные!$A$1:$U$1006,5,FALSE)</f>
        <v>0.95</v>
      </c>
      <c r="K57" s="227" t="str">
        <f>VLOOKUP($B57,Данные!$A$1:$U$1006,13,FALSE)</f>
        <v xml:space="preserve"> -60°...+50° С</v>
      </c>
      <c r="L57" s="227" t="str">
        <f>VLOOKUP($B57,Данные!$A$1:$U$1006,14,FALSE)</f>
        <v>100 000 ч</v>
      </c>
      <c r="M57" s="227" t="str">
        <f>VLOOKUP($B57,Данные!$A$1:$U$1006,10,FALSE)</f>
        <v>524x326x147</v>
      </c>
      <c r="N57" s="227">
        <f>VLOOKUP($B57,Данные!$A$1:$U$1006,11,FALSE)</f>
        <v>0</v>
      </c>
      <c r="O57" s="92" t="str">
        <f>VLOOKUP($B57,Данные!$A$1:$U$1006,9,FALSE)</f>
        <v>-</v>
      </c>
      <c r="P57" s="34">
        <f>VLOOKUP($B57,Данные!$A$1:$U$1006,2,FALSE)</f>
        <v>288</v>
      </c>
      <c r="Q57" s="224">
        <f>VLOOKUP($B57,Данные!$A$1:$U$1006,3,FALSE)</f>
        <v>36000</v>
      </c>
      <c r="R57" s="89" t="str">
        <f>VLOOKUP($B57,Данные!$A$1:$U$1006,15,FALSE)</f>
        <v>4000К</v>
      </c>
      <c r="S57" s="89">
        <f>VLOOKUP($B57,Данные!$A$1:$U$1006,7,FALSE)</f>
        <v>67</v>
      </c>
      <c r="T57" s="224" t="str">
        <f>VLOOKUP($B57,Данные!$A$1:$U$1006,16,FALSE)</f>
        <v>3 года</v>
      </c>
      <c r="U57" s="407">
        <v>13085</v>
      </c>
    </row>
    <row r="58" spans="1:21" ht="69.900000000000006" customHeight="1" thickBot="1">
      <c r="A58" s="366"/>
      <c r="B58" s="15" t="s">
        <v>497</v>
      </c>
      <c r="C58" s="187">
        <f>VLOOKUP(B58,Данные!A:Z,26,FALSE)</f>
        <v>9043</v>
      </c>
      <c r="D58" s="343"/>
      <c r="E58" s="345" t="str">
        <f t="shared" si="4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624х326х147
Вес, кг: 0</v>
      </c>
      <c r="F58" s="228" t="str">
        <f>VLOOKUP($B58,Данные!$A$1:$U$1006,6,FALSE)</f>
        <v>Л (полуширокая)</v>
      </c>
      <c r="G58" s="228">
        <f>VLOOKUP($B58,Данные!$A$1:$U$1006,8,FALSE)</f>
        <v>0</v>
      </c>
      <c r="H58" s="228" t="str">
        <f>VLOOKUP($B58,Данные!$A$1:$U$1006,12,FALSE)</f>
        <v>Экструдированный алюминиевый профиль (анодированный), прозрачное минеральное стекло**</v>
      </c>
      <c r="I58" s="228" t="str">
        <f>VLOOKUP($B58,Данные!$A$1:$U$1006,4,FALSE)</f>
        <v>176-264В AС</v>
      </c>
      <c r="J58" s="228">
        <f>VLOOKUP($B58,Данные!$A$1:$U$1006,5,FALSE)</f>
        <v>0.95</v>
      </c>
      <c r="K58" s="228" t="str">
        <f>VLOOKUP($B58,Данные!$A$1:$U$1006,13,FALSE)</f>
        <v xml:space="preserve"> -60°...+50° С</v>
      </c>
      <c r="L58" s="228" t="str">
        <f>VLOOKUP($B58,Данные!$A$1:$U$1006,14,FALSE)</f>
        <v>100 000 ч.</v>
      </c>
      <c r="M58" s="228" t="str">
        <f>VLOOKUP($B58,Данные!$A$1:$U$1006,10,FALSE)</f>
        <v>624х326х147</v>
      </c>
      <c r="N58" s="228">
        <f>VLOOKUP($B58,Данные!$A$1:$U$1006,11,FALSE)</f>
        <v>0</v>
      </c>
      <c r="O58" s="93" t="str">
        <f>VLOOKUP($B58,Данные!$A$1:$U$1006,9,FALSE)</f>
        <v>-</v>
      </c>
      <c r="P58" s="74">
        <f>VLOOKUP($B58,Данные!$A$1:$U$1006,2,FALSE)</f>
        <v>372</v>
      </c>
      <c r="Q58" s="225">
        <f>VLOOKUP($B58,Данные!$A$1:$U$1006,3,FALSE)</f>
        <v>46500</v>
      </c>
      <c r="R58" s="90" t="str">
        <f>VLOOKUP($B58,Данные!$A$1:$U$1006,15,FALSE)</f>
        <v>4000К</v>
      </c>
      <c r="S58" s="90">
        <f>VLOOKUP($B58,Данные!$A$1:$U$1006,7,FALSE)</f>
        <v>67</v>
      </c>
      <c r="T58" s="225" t="str">
        <f>VLOOKUP($B58,Данные!$A$1:$U$1006,16,FALSE)</f>
        <v>3 года</v>
      </c>
      <c r="U58" s="408">
        <v>17160</v>
      </c>
    </row>
    <row r="59" spans="1:21" ht="69.900000000000006" customHeight="1">
      <c r="A59" s="346"/>
      <c r="B59" s="17" t="s">
        <v>498</v>
      </c>
      <c r="C59" s="185">
        <f>VLOOKUP(B59,Данные!A:Z,26,FALSE)</f>
        <v>9065</v>
      </c>
      <c r="D59" s="342" t="s">
        <v>515</v>
      </c>
      <c r="E59" s="344" t="str">
        <f>CONCATENATE(CONCATENATE($F$3,": ",$F59,CHAR(10),$H$3,": ",$H59,CHAR(10),$I$3,": ",$I59,CHAR(10),$J$3,": ",$J59,CHAR(10),$K$3,": ",$K59,CHAR(10),$L$3,": ",$L59,CHAR(10)),"*Цветовая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59" s="248" t="str">
        <f>VLOOKUP($B59,Данные!$A$1:$U$1006,6,FALSE)</f>
        <v>Л (полуширокая)</v>
      </c>
      <c r="G59" s="248">
        <f>VLOOKUP($B59,Данные!$A$1:$U$1006,8,FALSE)</f>
        <v>0</v>
      </c>
      <c r="H59" s="248" t="str">
        <f>VLOOKUP($B59,Данные!$A$1:$U$1006,12,FALSE)</f>
        <v>Экструдированный алюминиевый профиль (анодированный), прозрачное минеральное стекло**</v>
      </c>
      <c r="I59" s="248" t="str">
        <f>VLOOKUP($B59,Данные!$A$1:$U$1006,4,FALSE)</f>
        <v>176-264В AС</v>
      </c>
      <c r="J59" s="248">
        <f>VLOOKUP($B59,Данные!$A$1:$U$1006,5,FALSE)</f>
        <v>0.95</v>
      </c>
      <c r="K59" s="248" t="str">
        <f>VLOOKUP($B59,Данные!$A$1:$U$1006,13,FALSE)</f>
        <v xml:space="preserve"> -60°...+50° С</v>
      </c>
      <c r="L59" s="248" t="str">
        <f>VLOOKUP($B59,Данные!$A$1:$U$1006,14,FALSE)</f>
        <v>100 000 ч</v>
      </c>
      <c r="M59" s="248" t="str">
        <f>VLOOKUP($B59,Данные!$A$1:$U$1006,10,FALSE)</f>
        <v>224x326x126</v>
      </c>
      <c r="N59" s="248">
        <f>VLOOKUP($B59,Данные!$A$1:$U$1006,11,FALSE)</f>
        <v>0</v>
      </c>
      <c r="O59" s="91" t="str">
        <f>VLOOKUP($B59,Данные!$A$1:$U$1006,9,FALSE)</f>
        <v>-</v>
      </c>
      <c r="P59" s="33">
        <f>VLOOKUP($B59,Данные!$A$1:$U$1006,2,FALSE)</f>
        <v>96</v>
      </c>
      <c r="Q59" s="245">
        <f>VLOOKUP($B59,Данные!$A$1:$U$1006,3,FALSE)</f>
        <v>12000</v>
      </c>
      <c r="R59" s="88" t="str">
        <f>VLOOKUP($B59,Данные!$A$1:$U$1006,15,FALSE)</f>
        <v>4000К</v>
      </c>
      <c r="S59" s="88">
        <f>VLOOKUP($B59,Данные!$A$1:$U$1006,7,FALSE)</f>
        <v>67</v>
      </c>
      <c r="T59" s="245" t="str">
        <f>VLOOKUP($B59,Данные!$A$1:$U$1006,16,FALSE)</f>
        <v>3 года</v>
      </c>
      <c r="U59" s="406">
        <v>6220</v>
      </c>
    </row>
    <row r="60" spans="1:21" ht="69.900000000000006" customHeight="1">
      <c r="A60" s="347"/>
      <c r="B60" s="18" t="s">
        <v>499</v>
      </c>
      <c r="C60" s="186">
        <f>VLOOKUP(B60,Данные!A:Z,26,FALSE)</f>
        <v>9066</v>
      </c>
      <c r="D60" s="337"/>
      <c r="E60" s="338" t="str">
        <f t="shared" si="4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274x326x126
Вес, кг: 0</v>
      </c>
      <c r="F60" s="249" t="str">
        <f>VLOOKUP($B60,Данные!$A$1:$U$1006,6,FALSE)</f>
        <v>Л (полуширокая)</v>
      </c>
      <c r="G60" s="249">
        <f>VLOOKUP($B60,Данные!$A$1:$U$1006,8,FALSE)</f>
        <v>0</v>
      </c>
      <c r="H60" s="249" t="str">
        <f>VLOOKUP($B60,Данные!$A$1:$U$1006,12,FALSE)</f>
        <v>Экструдированный алюминиевый профиль (анодированный), прозрачное минеральное стекло**</v>
      </c>
      <c r="I60" s="249" t="str">
        <f>VLOOKUP($B60,Данные!$A$1:$U$1006,4,FALSE)</f>
        <v>176-264В AС</v>
      </c>
      <c r="J60" s="249">
        <f>VLOOKUP($B60,Данные!$A$1:$U$1006,5,FALSE)</f>
        <v>0.95</v>
      </c>
      <c r="K60" s="249" t="str">
        <f>VLOOKUP($B60,Данные!$A$1:$U$1006,13,FALSE)</f>
        <v xml:space="preserve"> -60°...+50° С</v>
      </c>
      <c r="L60" s="249" t="str">
        <f>VLOOKUP($B60,Данные!$A$1:$U$1006,14,FALSE)</f>
        <v>100 000 ч</v>
      </c>
      <c r="M60" s="249" t="str">
        <f>VLOOKUP($B60,Данные!$A$1:$U$1006,10,FALSE)</f>
        <v>274x326x126</v>
      </c>
      <c r="N60" s="249">
        <f>VLOOKUP($B60,Данные!$A$1:$U$1006,11,FALSE)</f>
        <v>0</v>
      </c>
      <c r="O60" s="92" t="str">
        <f>VLOOKUP($B60,Данные!$A$1:$U$1006,9,FALSE)</f>
        <v>-</v>
      </c>
      <c r="P60" s="34">
        <f>VLOOKUP($B60,Данные!$A$1:$U$1006,2,FALSE)</f>
        <v>144</v>
      </c>
      <c r="Q60" s="246">
        <f>VLOOKUP($B60,Данные!$A$1:$U$1006,3,FALSE)</f>
        <v>18000</v>
      </c>
      <c r="R60" s="89" t="str">
        <f>VLOOKUP($B60,Данные!$A$1:$U$1006,15,FALSE)</f>
        <v>4000К</v>
      </c>
      <c r="S60" s="89">
        <f>VLOOKUP($B60,Данные!$A$1:$U$1006,7,FALSE)</f>
        <v>67</v>
      </c>
      <c r="T60" s="246" t="str">
        <f>VLOOKUP($B60,Данные!$A$1:$U$1006,16,FALSE)</f>
        <v>3 года</v>
      </c>
      <c r="U60" s="407">
        <v>7510</v>
      </c>
    </row>
    <row r="61" spans="1:21" ht="69.900000000000006" customHeight="1">
      <c r="A61" s="347"/>
      <c r="B61" s="18" t="s">
        <v>500</v>
      </c>
      <c r="C61" s="186">
        <f>VLOOKUP(B61,Данные!A:Z,26,FALSE)</f>
        <v>9067</v>
      </c>
      <c r="D61" s="337"/>
      <c r="E61" s="338"/>
      <c r="F61" s="249" t="str">
        <f>VLOOKUP($B61,Данные!$A$1:$U$1006,6,FALSE)</f>
        <v>Л (полуширокая)</v>
      </c>
      <c r="G61" s="249">
        <f>VLOOKUP($B61,Данные!$A$1:$U$1006,8,FALSE)</f>
        <v>0</v>
      </c>
      <c r="H61" s="249" t="str">
        <f>VLOOKUP($B61,Данные!$A$1:$U$1006,12,FALSE)</f>
        <v>Экструдированный алюминиевый профиль (анодированный), прозрачное минеральное стекло**</v>
      </c>
      <c r="I61" s="249" t="str">
        <f>VLOOKUP($B61,Данные!$A$1:$U$1006,4,FALSE)</f>
        <v>176-264В AС</v>
      </c>
      <c r="J61" s="249">
        <f>VLOOKUP($B61,Данные!$A$1:$U$1006,5,FALSE)</f>
        <v>0.95</v>
      </c>
      <c r="K61" s="249" t="str">
        <f>VLOOKUP($B61,Данные!$A$1:$U$1006,13,FALSE)</f>
        <v xml:space="preserve"> -60°...+50° С</v>
      </c>
      <c r="L61" s="249" t="str">
        <f>VLOOKUP($B61,Данные!$A$1:$U$1006,14,FALSE)</f>
        <v>100 000 ч</v>
      </c>
      <c r="M61" s="249" t="str">
        <f>VLOOKUP($B61,Данные!$A$1:$U$1006,10,FALSE)</f>
        <v>324x326x126</v>
      </c>
      <c r="N61" s="249">
        <f>VLOOKUP($B61,Данные!$A$1:$U$1006,11,FALSE)</f>
        <v>0</v>
      </c>
      <c r="O61" s="92" t="str">
        <f>VLOOKUP($B61,Данные!$A$1:$U$1006,9,FALSE)</f>
        <v>-</v>
      </c>
      <c r="P61" s="34">
        <f>VLOOKUP($B61,Данные!$A$1:$U$1006,2,FALSE)</f>
        <v>186</v>
      </c>
      <c r="Q61" s="246">
        <f>VLOOKUP($B61,Данные!$A$1:$U$1006,3,FALSE)</f>
        <v>23250</v>
      </c>
      <c r="R61" s="89" t="str">
        <f>VLOOKUP($B61,Данные!$A$1:$U$1006,15,FALSE)</f>
        <v>4000К</v>
      </c>
      <c r="S61" s="89">
        <f>VLOOKUP($B61,Данные!$A$1:$U$1006,7,FALSE)</f>
        <v>67</v>
      </c>
      <c r="T61" s="246" t="str">
        <f>VLOOKUP($B61,Данные!$A$1:$U$1006,16,FALSE)</f>
        <v>3 года</v>
      </c>
      <c r="U61" s="407">
        <v>8580</v>
      </c>
    </row>
    <row r="62" spans="1:21" ht="69.900000000000006" customHeight="1">
      <c r="A62" s="347"/>
      <c r="B62" s="18" t="s">
        <v>501</v>
      </c>
      <c r="C62" s="186">
        <f>VLOOKUP(B62,Данные!A:Z,26,FALSE)</f>
        <v>9028</v>
      </c>
      <c r="D62" s="337"/>
      <c r="E62" s="338"/>
      <c r="F62" s="249" t="str">
        <f>VLOOKUP($B62,Данные!$A$1:$U$1006,6,FALSE)</f>
        <v>Л (полуширокая)</v>
      </c>
      <c r="G62" s="249">
        <f>VLOOKUP($B62,Данные!$A$1:$U$1006,8,FALSE)</f>
        <v>0</v>
      </c>
      <c r="H62" s="249" t="str">
        <f>VLOOKUP($B62,Данные!$A$1:$U$1006,12,FALSE)</f>
        <v>Экструдированный алюминиевый профиль (анодированный), прозрачное минеральное стекло**</v>
      </c>
      <c r="I62" s="249" t="str">
        <f>VLOOKUP($B62,Данные!$A$1:$U$1006,4,FALSE)</f>
        <v>176-264В AС</v>
      </c>
      <c r="J62" s="249">
        <f>VLOOKUP($B62,Данные!$A$1:$U$1006,5,FALSE)</f>
        <v>0.95</v>
      </c>
      <c r="K62" s="249" t="str">
        <f>VLOOKUP($B62,Данные!$A$1:$U$1006,13,FALSE)</f>
        <v xml:space="preserve"> -60°...+50° С</v>
      </c>
      <c r="L62" s="249" t="str">
        <f>VLOOKUP($B62,Данные!$A$1:$U$1006,14,FALSE)</f>
        <v>100 000 ч.</v>
      </c>
      <c r="M62" s="249" t="str">
        <f>VLOOKUP($B62,Данные!$A$1:$U$1006,10,FALSE)</f>
        <v>464х326х133</v>
      </c>
      <c r="N62" s="249">
        <f>VLOOKUP($B62,Данные!$A$1:$U$1006,11,FALSE)</f>
        <v>0</v>
      </c>
      <c r="O62" s="92" t="str">
        <f>VLOOKUP($B62,Данные!$A$1:$U$1006,9,FALSE)</f>
        <v>-</v>
      </c>
      <c r="P62" s="34">
        <f>VLOOKUP($B62,Данные!$A$1:$U$1006,2,FALSE)</f>
        <v>240</v>
      </c>
      <c r="Q62" s="246">
        <f>VLOOKUP($B62,Данные!$A$1:$U$1006,3,FALSE)</f>
        <v>30000</v>
      </c>
      <c r="R62" s="89" t="str">
        <f>VLOOKUP($B62,Данные!$A$1:$U$1006,15,FALSE)</f>
        <v>4000К</v>
      </c>
      <c r="S62" s="89">
        <f>VLOOKUP($B62,Данные!$A$1:$U$1006,7,FALSE)</f>
        <v>67</v>
      </c>
      <c r="T62" s="246" t="str">
        <f>VLOOKUP($B62,Данные!$A$1:$U$1006,16,FALSE)</f>
        <v>3 года</v>
      </c>
      <c r="U62" s="407">
        <v>12655</v>
      </c>
    </row>
    <row r="63" spans="1:21" ht="69.900000000000006" customHeight="1">
      <c r="A63" s="347"/>
      <c r="B63" s="18" t="s">
        <v>502</v>
      </c>
      <c r="C63" s="186">
        <f>VLOOKUP(B63,Данные!A:Z,26,FALSE)</f>
        <v>9068</v>
      </c>
      <c r="D63" s="337"/>
      <c r="E63" s="338" t="str">
        <f t="shared" si="4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524x326x133
Вес, кг: 0</v>
      </c>
      <c r="F63" s="249" t="str">
        <f>VLOOKUP($B63,Данные!$A$1:$U$1006,6,FALSE)</f>
        <v>Л (полуширокая)</v>
      </c>
      <c r="G63" s="249">
        <f>VLOOKUP($B63,Данные!$A$1:$U$1006,8,FALSE)</f>
        <v>0</v>
      </c>
      <c r="H63" s="249" t="str">
        <f>VLOOKUP($B63,Данные!$A$1:$U$1006,12,FALSE)</f>
        <v>Экструдированный алюминиевый профиль (анодированный), прозрачное минеральное стекло**</v>
      </c>
      <c r="I63" s="249" t="str">
        <f>VLOOKUP($B63,Данные!$A$1:$U$1006,4,FALSE)</f>
        <v>176-264В AС</v>
      </c>
      <c r="J63" s="249">
        <f>VLOOKUP($B63,Данные!$A$1:$U$1006,5,FALSE)</f>
        <v>0.95</v>
      </c>
      <c r="K63" s="249" t="str">
        <f>VLOOKUP($B63,Данные!$A$1:$U$1006,13,FALSE)</f>
        <v xml:space="preserve"> -60°...+50° С</v>
      </c>
      <c r="L63" s="249" t="str">
        <f>VLOOKUP($B63,Данные!$A$1:$U$1006,14,FALSE)</f>
        <v>100 000 ч</v>
      </c>
      <c r="M63" s="249" t="str">
        <f>VLOOKUP($B63,Данные!$A$1:$U$1006,10,FALSE)</f>
        <v>524x326x133</v>
      </c>
      <c r="N63" s="249">
        <f>VLOOKUP($B63,Данные!$A$1:$U$1006,11,FALSE)</f>
        <v>0</v>
      </c>
      <c r="O63" s="92" t="str">
        <f>VLOOKUP($B63,Данные!$A$1:$U$1006,9,FALSE)</f>
        <v>-</v>
      </c>
      <c r="P63" s="34">
        <f>VLOOKUP($B63,Данные!$A$1:$U$1006,2,FALSE)</f>
        <v>288</v>
      </c>
      <c r="Q63" s="246">
        <f>VLOOKUP($B63,Данные!$A$1:$U$1006,3,FALSE)</f>
        <v>36000</v>
      </c>
      <c r="R63" s="89" t="str">
        <f>VLOOKUP($B63,Данные!$A$1:$U$1006,15,FALSE)</f>
        <v>4000К</v>
      </c>
      <c r="S63" s="89">
        <f>VLOOKUP($B63,Данные!$A$1:$U$1006,7,FALSE)</f>
        <v>67</v>
      </c>
      <c r="T63" s="246" t="str">
        <f>VLOOKUP($B63,Данные!$A$1:$U$1006,16,FALSE)</f>
        <v>3 года</v>
      </c>
      <c r="U63" s="407">
        <v>13085</v>
      </c>
    </row>
    <row r="64" spans="1:21" ht="69.900000000000006" customHeight="1" thickBot="1">
      <c r="A64" s="348"/>
      <c r="B64" s="15" t="s">
        <v>503</v>
      </c>
      <c r="C64" s="187">
        <f>VLOOKUP(B64,Данные!A:Z,26,FALSE)</f>
        <v>9044</v>
      </c>
      <c r="D64" s="343"/>
      <c r="E64" s="345" t="str">
        <f t="shared" si="4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624х326х133
Вес, кг: 0</v>
      </c>
      <c r="F64" s="250" t="str">
        <f>VLOOKUP($B64,Данные!$A$1:$U$1006,6,FALSE)</f>
        <v>Л (полуширокая)</v>
      </c>
      <c r="G64" s="250">
        <f>VLOOKUP($B64,Данные!$A$1:$U$1006,8,FALSE)</f>
        <v>0</v>
      </c>
      <c r="H64" s="250" t="str">
        <f>VLOOKUP($B64,Данные!$A$1:$U$1006,12,FALSE)</f>
        <v>Экструдированный алюминиевый профиль (анодированный), прозрачное минеральное стекло**</v>
      </c>
      <c r="I64" s="250" t="str">
        <f>VLOOKUP($B64,Данные!$A$1:$U$1006,4,FALSE)</f>
        <v>176-264В AС</v>
      </c>
      <c r="J64" s="250">
        <f>VLOOKUP($B64,Данные!$A$1:$U$1006,5,FALSE)</f>
        <v>0.95</v>
      </c>
      <c r="K64" s="250" t="str">
        <f>VLOOKUP($B64,Данные!$A$1:$U$1006,13,FALSE)</f>
        <v xml:space="preserve"> -60°...+50° С</v>
      </c>
      <c r="L64" s="250" t="str">
        <f>VLOOKUP($B64,Данные!$A$1:$U$1006,14,FALSE)</f>
        <v>100 000 ч.</v>
      </c>
      <c r="M64" s="250" t="str">
        <f>VLOOKUP($B64,Данные!$A$1:$U$1006,10,FALSE)</f>
        <v>624х326х133</v>
      </c>
      <c r="N64" s="250">
        <f>VLOOKUP($B64,Данные!$A$1:$U$1006,11,FALSE)</f>
        <v>0</v>
      </c>
      <c r="O64" s="93" t="str">
        <f>VLOOKUP($B64,Данные!$A$1:$U$1006,9,FALSE)</f>
        <v>-</v>
      </c>
      <c r="P64" s="74">
        <f>VLOOKUP($B64,Данные!$A$1:$U$1006,2,FALSE)</f>
        <v>372</v>
      </c>
      <c r="Q64" s="247">
        <f>VLOOKUP($B64,Данные!$A$1:$U$1006,3,FALSE)</f>
        <v>46500</v>
      </c>
      <c r="R64" s="90" t="str">
        <f>VLOOKUP($B64,Данные!$A$1:$U$1006,15,FALSE)</f>
        <v>4000К</v>
      </c>
      <c r="S64" s="90">
        <f>VLOOKUP($B64,Данные!$A$1:$U$1006,7,FALSE)</f>
        <v>67</v>
      </c>
      <c r="T64" s="247" t="str">
        <f>VLOOKUP($B64,Данные!$A$1:$U$1006,16,FALSE)</f>
        <v>3 года</v>
      </c>
      <c r="U64" s="408">
        <v>17160</v>
      </c>
    </row>
    <row r="65" spans="1:22" ht="39.9" customHeight="1" thickBot="1">
      <c r="A65" s="369" t="s">
        <v>351</v>
      </c>
      <c r="B65" s="370"/>
      <c r="C65" s="370"/>
      <c r="D65" s="370"/>
      <c r="E65" s="370"/>
      <c r="F65" s="370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</row>
    <row r="66" spans="1:22" ht="69.900000000000006" customHeight="1">
      <c r="A66" s="230"/>
      <c r="B66" s="14" t="s">
        <v>504</v>
      </c>
      <c r="C66" s="188">
        <f>VLOOKUP(B66,Данные!A:Z,26,FALSE)</f>
        <v>9045</v>
      </c>
      <c r="D66" s="337" t="s">
        <v>515</v>
      </c>
      <c r="E66" s="338" t="str">
        <f>CONCATENATE(CONCATENATE($F$3,": ",$F66,CHAR(10),$H$3,": ",$H66,CHAR(10),$I$3,": ",$I66,CHAR(10),$J$3,": ",$J66,CHAR(10),$K$3,": ",$K66,CHAR(10),$L$3,": ",$L66,CHAR(10)),"*Цветовая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4000К; 
 **Рассеиватель: 
 - силикатное стекло.</v>
      </c>
      <c r="F66" s="227" t="str">
        <f>VLOOKUP($B66,Данные!$A$1:$U$1006,6,FALSE)</f>
        <v>Л (полуширокая)</v>
      </c>
      <c r="G66" s="227">
        <f>VLOOKUP($B66,Данные!$A$1:$U$1006,8,FALSE)</f>
        <v>0</v>
      </c>
      <c r="H66" s="227" t="str">
        <f>VLOOKUP($B66,Данные!$A$1:$U$1006,12,FALSE)</f>
        <v>Экструдированный алюминиевый профиль (анодированный), прозрачное минеральное стекло**</v>
      </c>
      <c r="I66" s="227" t="str">
        <f>VLOOKUP($B66,Данные!$A$1:$U$1006,4,FALSE)</f>
        <v>176-264В AС</v>
      </c>
      <c r="J66" s="227">
        <f>VLOOKUP($B66,Данные!$A$1:$U$1006,5,FALSE)</f>
        <v>0.95</v>
      </c>
      <c r="K66" s="227" t="str">
        <f>VLOOKUP($B66,Данные!$A$1:$U$1006,13,FALSE)</f>
        <v xml:space="preserve"> -60°...+50° С</v>
      </c>
      <c r="L66" s="227" t="str">
        <f>VLOOKUP($B66,Данные!$A$1:$U$1006,14,FALSE)</f>
        <v>100 000 ч.</v>
      </c>
      <c r="M66" s="227" t="str">
        <f>VLOOKUP($B66,Данные!$A$1:$U$1006,10,FALSE)</f>
        <v>479х100х151</v>
      </c>
      <c r="N66" s="227">
        <f>VLOOKUP($B66,Данные!$A$1:$U$1006,11,FALSE)</f>
        <v>0</v>
      </c>
      <c r="O66" s="92" t="str">
        <f>VLOOKUP($B66,Данные!$A$1:$U$1006,9,FALSE)</f>
        <v>-</v>
      </c>
      <c r="P66" s="34">
        <f>VLOOKUP($B66,Данные!$A$1:$U$1006,2,FALSE)</f>
        <v>32</v>
      </c>
      <c r="Q66" s="224">
        <f>VLOOKUP($B66,Данные!$A$1:$U$1006,3,FALSE)</f>
        <v>4000</v>
      </c>
      <c r="R66" s="89" t="str">
        <f>VLOOKUP($B66,Данные!$A$1:$U$1006,15,FALSE)</f>
        <v>4000К</v>
      </c>
      <c r="S66" s="89">
        <f>VLOOKUP($B66,Данные!$A$1:$U$1006,7,FALSE)</f>
        <v>67</v>
      </c>
      <c r="T66" s="224" t="str">
        <f>VLOOKUP($B66,Данные!$A$1:$U$1006,16,FALSE)</f>
        <v>3 года</v>
      </c>
      <c r="U66" s="407">
        <v>3430</v>
      </c>
    </row>
    <row r="67" spans="1:22" ht="69.900000000000006" customHeight="1">
      <c r="A67" s="230"/>
      <c r="B67" s="14" t="s">
        <v>505</v>
      </c>
      <c r="C67" s="188">
        <f>VLOOKUP(B67,Данные!A:Z,26,FALSE)</f>
        <v>9046</v>
      </c>
      <c r="D67" s="337"/>
      <c r="E67" s="338"/>
      <c r="F67" s="227" t="str">
        <f>VLOOKUP($B67,Данные!$A$1:$U$1006,6,FALSE)</f>
        <v>Л (полуширокая)</v>
      </c>
      <c r="G67" s="227">
        <f>VLOOKUP($B67,Данные!$A$1:$U$1006,8,FALSE)</f>
        <v>0</v>
      </c>
      <c r="H67" s="227" t="str">
        <f>VLOOKUP($B67,Данные!$A$1:$U$1006,12,FALSE)</f>
        <v>Экструдированный алюминиевый профиль (анодированный), прозрачное минеральное стекло**</v>
      </c>
      <c r="I67" s="227" t="str">
        <f>VLOOKUP($B67,Данные!$A$1:$U$1006,4,FALSE)</f>
        <v>176-264В AС</v>
      </c>
      <c r="J67" s="227">
        <f>VLOOKUP($B67,Данные!$A$1:$U$1006,5,FALSE)</f>
        <v>0.95</v>
      </c>
      <c r="K67" s="227" t="str">
        <f>VLOOKUP($B67,Данные!$A$1:$U$1006,13,FALSE)</f>
        <v xml:space="preserve"> -60°...+50° С</v>
      </c>
      <c r="L67" s="227" t="str">
        <f>VLOOKUP($B67,Данные!$A$1:$U$1006,14,FALSE)</f>
        <v>100 000 ч.</v>
      </c>
      <c r="M67" s="227" t="str">
        <f>VLOOKUP($B67,Данные!$A$1:$U$1006,10,FALSE)</f>
        <v>566х100х169</v>
      </c>
      <c r="N67" s="227">
        <f>VLOOKUP($B67,Данные!$A$1:$U$1006,11,FALSE)</f>
        <v>0</v>
      </c>
      <c r="O67" s="92" t="str">
        <f>VLOOKUP($B67,Данные!$A$1:$U$1006,9,FALSE)</f>
        <v>-</v>
      </c>
      <c r="P67" s="34">
        <f>VLOOKUP($B67,Данные!$A$1:$U$1006,2,FALSE)</f>
        <v>48</v>
      </c>
      <c r="Q67" s="224">
        <f>VLOOKUP($B67,Данные!$A$1:$U$1006,3,FALSE)</f>
        <v>6000</v>
      </c>
      <c r="R67" s="89" t="str">
        <f>VLOOKUP($B67,Данные!$A$1:$U$1006,15,FALSE)</f>
        <v>4000К</v>
      </c>
      <c r="S67" s="89">
        <f>VLOOKUP($B67,Данные!$A$1:$U$1006,7,FALSE)</f>
        <v>67</v>
      </c>
      <c r="T67" s="224" t="str">
        <f>VLOOKUP($B67,Данные!$A$1:$U$1006,16,FALSE)</f>
        <v>3 года</v>
      </c>
      <c r="U67" s="407">
        <v>4120</v>
      </c>
    </row>
    <row r="68" spans="1:22" ht="69.900000000000006" customHeight="1">
      <c r="A68" s="371"/>
      <c r="B68" s="150" t="s">
        <v>506</v>
      </c>
      <c r="C68" s="189">
        <f>VLOOKUP(B68,Данные!A:Z,26,FALSE)</f>
        <v>9047</v>
      </c>
      <c r="D68" s="337"/>
      <c r="E68" s="338"/>
      <c r="F68" s="227" t="str">
        <f>VLOOKUP($B68,Данные!$A$1:$U$1006,6,FALSE)</f>
        <v>Л (полуширокая)</v>
      </c>
      <c r="G68" s="227">
        <f>VLOOKUP($B68,Данные!$A$1:$U$1006,8,FALSE)</f>
        <v>0</v>
      </c>
      <c r="H68" s="227" t="str">
        <f>VLOOKUP($B68,Данные!$A$1:$U$1006,12,FALSE)</f>
        <v>Экструдированный алюминиевый профиль (анодированный), прозрачное минеральное стекло**</v>
      </c>
      <c r="I68" s="227" t="str">
        <f>VLOOKUP($B68,Данные!$A$1:$U$1006,4,FALSE)</f>
        <v>176-264В AС</v>
      </c>
      <c r="J68" s="227">
        <f>VLOOKUP($B68,Данные!$A$1:$U$1006,5,FALSE)</f>
        <v>0.95</v>
      </c>
      <c r="K68" s="227" t="str">
        <f>VLOOKUP($B68,Данные!$A$1:$U$1006,13,FALSE)</f>
        <v xml:space="preserve"> -60°...+50° С</v>
      </c>
      <c r="L68" s="227" t="str">
        <f>VLOOKUP($B68,Данные!$A$1:$U$1006,14,FALSE)</f>
        <v>100 000 ч</v>
      </c>
      <c r="M68" s="227" t="str">
        <f>VLOOKUP($B68,Данные!$A$1:$U$1006,10,FALSE)</f>
        <v>479х100х151</v>
      </c>
      <c r="N68" s="227">
        <f>VLOOKUP($B68,Данные!$A$1:$U$1006,11,FALSE)</f>
        <v>0</v>
      </c>
      <c r="O68" s="92" t="str">
        <f>VLOOKUP($B68,Данные!$A$1:$U$1006,9,FALSE)</f>
        <v>-</v>
      </c>
      <c r="P68" s="34">
        <f>VLOOKUP($B68,Данные!$A$1:$U$1006,2,FALSE)</f>
        <v>64</v>
      </c>
      <c r="Q68" s="224">
        <f>VLOOKUP($B68,Данные!$A$1:$U$1006,3,FALSE)</f>
        <v>8000</v>
      </c>
      <c r="R68" s="89" t="str">
        <f>VLOOKUP($B68,Данные!$A$1:$U$1006,15,FALSE)</f>
        <v>4000К</v>
      </c>
      <c r="S68" s="89">
        <f>VLOOKUP($B68,Данные!$A$1:$U$1006,7,FALSE)</f>
        <v>67</v>
      </c>
      <c r="T68" s="224" t="str">
        <f>VLOOKUP($B68,Данные!$A$1:$U$1006,16,FALSE)</f>
        <v>3 года</v>
      </c>
      <c r="U68" s="407">
        <v>4145</v>
      </c>
    </row>
    <row r="69" spans="1:22" ht="69.900000000000006" customHeight="1">
      <c r="A69" s="371"/>
      <c r="B69" s="18" t="s">
        <v>507</v>
      </c>
      <c r="C69" s="186">
        <f>VLOOKUP(B69,Данные!A:Z,26,FALSE)</f>
        <v>9048</v>
      </c>
      <c r="D69" s="337"/>
      <c r="E69" s="338"/>
      <c r="F69" s="227" t="str">
        <f>VLOOKUP($B69,Данные!$A$1:$U$1006,6,FALSE)</f>
        <v>Л (полуширокая)</v>
      </c>
      <c r="G69" s="227">
        <f>VLOOKUP($B69,Данные!$A$1:$U$1006,8,FALSE)</f>
        <v>0</v>
      </c>
      <c r="H69" s="227" t="str">
        <f>VLOOKUP($B69,Данные!$A$1:$U$1006,12,FALSE)</f>
        <v>Экструдированный алюминиевый профиль (анодированный), прозрачное минеральное стекло**</v>
      </c>
      <c r="I69" s="227" t="str">
        <f>VLOOKUP($B69,Данные!$A$1:$U$1006,4,FALSE)</f>
        <v>176-264В AС</v>
      </c>
      <c r="J69" s="227">
        <f>VLOOKUP($B69,Данные!$A$1:$U$1006,5,FALSE)</f>
        <v>0.95</v>
      </c>
      <c r="K69" s="227" t="str">
        <f>VLOOKUP($B69,Данные!$A$1:$U$1006,13,FALSE)</f>
        <v xml:space="preserve"> -60°...+50° С</v>
      </c>
      <c r="L69" s="227" t="str">
        <f>VLOOKUP($B69,Данные!$A$1:$U$1006,14,FALSE)</f>
        <v>100 000 ч</v>
      </c>
      <c r="M69" s="227" t="str">
        <f>VLOOKUP($B69,Данные!$A$1:$U$1006,10,FALSE)</f>
        <v>566х100х169</v>
      </c>
      <c r="N69" s="227">
        <f>VLOOKUP($B69,Данные!$A$1:$U$1006,11,FALSE)</f>
        <v>0</v>
      </c>
      <c r="O69" s="92" t="str">
        <f>VLOOKUP($B69,Данные!$A$1:$U$1006,9,FALSE)</f>
        <v>-</v>
      </c>
      <c r="P69" s="34">
        <f>VLOOKUP($B69,Данные!$A$1:$U$1006,2,FALSE)</f>
        <v>96</v>
      </c>
      <c r="Q69" s="224">
        <f>VLOOKUP($B69,Данные!$A$1:$U$1006,3,FALSE)</f>
        <v>12000</v>
      </c>
      <c r="R69" s="89" t="str">
        <f>VLOOKUP($B69,Данные!$A$1:$U$1006,15,FALSE)</f>
        <v>4000К</v>
      </c>
      <c r="S69" s="89">
        <f>VLOOKUP($B69,Данные!$A$1:$U$1006,7,FALSE)</f>
        <v>67</v>
      </c>
      <c r="T69" s="224" t="str">
        <f>VLOOKUP($B69,Данные!$A$1:$U$1006,16,FALSE)</f>
        <v>3 года</v>
      </c>
      <c r="U69" s="407">
        <v>5005</v>
      </c>
    </row>
    <row r="70" spans="1:22" ht="69.900000000000006" customHeight="1">
      <c r="A70" s="371"/>
      <c r="B70" s="18" t="s">
        <v>508</v>
      </c>
      <c r="C70" s="186">
        <f>VLOOKUP(B70,Данные!A:Z,26,FALSE)</f>
        <v>9049</v>
      </c>
      <c r="D70" s="337"/>
      <c r="E70" s="338"/>
      <c r="F70" s="227" t="str">
        <f>VLOOKUP($B70,Данные!$A$1:$U$1006,6,FALSE)</f>
        <v>Л (полуширокая)</v>
      </c>
      <c r="G70" s="227">
        <f>VLOOKUP($B70,Данные!$A$1:$U$1006,8,FALSE)</f>
        <v>0</v>
      </c>
      <c r="H70" s="227" t="str">
        <f>VLOOKUP($B70,Данные!$A$1:$U$1006,12,FALSE)</f>
        <v>Экструдированный алюминиевый профиль (анодированный), прозрачное минеральное стекло**</v>
      </c>
      <c r="I70" s="227" t="str">
        <f>VLOOKUP($B70,Данные!$A$1:$U$1006,4,FALSE)</f>
        <v>176-264В AС</v>
      </c>
      <c r="J70" s="227">
        <f>VLOOKUP($B70,Данные!$A$1:$U$1006,5,FALSE)</f>
        <v>0.95</v>
      </c>
      <c r="K70" s="227" t="str">
        <f>VLOOKUP($B70,Данные!$A$1:$U$1006,13,FALSE)</f>
        <v xml:space="preserve"> -60°...+50° С</v>
      </c>
      <c r="L70" s="227" t="str">
        <f>VLOOKUP($B70,Данные!$A$1:$U$1006,14,FALSE)</f>
        <v>100 000 ч</v>
      </c>
      <c r="M70" s="227" t="str">
        <f>VLOOKUP($B70,Данные!$A$1:$U$1006,10,FALSE)</f>
        <v>652х100х194</v>
      </c>
      <c r="N70" s="227">
        <f>VLOOKUP($B70,Данные!$A$1:$U$1006,11,FALSE)</f>
        <v>0</v>
      </c>
      <c r="O70" s="92" t="str">
        <f>VLOOKUP($B70,Данные!$A$1:$U$1006,9,FALSE)</f>
        <v>-</v>
      </c>
      <c r="P70" s="34">
        <f>VLOOKUP($B70,Данные!$A$1:$U$1006,2,FALSE)</f>
        <v>124</v>
      </c>
      <c r="Q70" s="224">
        <f>VLOOKUP($B70,Данные!$A$1:$U$1006,3,FALSE)</f>
        <v>15500</v>
      </c>
      <c r="R70" s="89" t="str">
        <f>VLOOKUP($B70,Данные!$A$1:$U$1006,15,FALSE)</f>
        <v>4000К</v>
      </c>
      <c r="S70" s="89">
        <f>VLOOKUP($B70,Данные!$A$1:$U$1006,7,FALSE)</f>
        <v>67</v>
      </c>
      <c r="T70" s="224" t="str">
        <f>VLOOKUP($B70,Данные!$A$1:$U$1006,16,FALSE)</f>
        <v>3 года</v>
      </c>
      <c r="U70" s="407">
        <v>5720</v>
      </c>
      <c r="V70" s="75"/>
    </row>
    <row r="71" spans="1:22" ht="69.900000000000006" customHeight="1" thickBot="1">
      <c r="A71" s="372"/>
      <c r="B71" s="15" t="s">
        <v>509</v>
      </c>
      <c r="C71" s="187">
        <f>VLOOKUP(B71,Данные!A:Z,26,FALSE)</f>
        <v>9050</v>
      </c>
      <c r="D71" s="343"/>
      <c r="E71" s="345"/>
      <c r="F71" s="228" t="str">
        <f>VLOOKUP($B71,Данные!$A$1:$U$1006,6,FALSE)</f>
        <v>Л (полуширокая)</v>
      </c>
      <c r="G71" s="228">
        <f>VLOOKUP($B71,Данные!$A$1:$U$1006,8,FALSE)</f>
        <v>0</v>
      </c>
      <c r="H71" s="228" t="str">
        <f>VLOOKUP($B71,Данные!$A$1:$U$1006,12,FALSE)</f>
        <v>Экструдированный алюминиевый профиль (анодированный), прозрачное минеральное стекло**</v>
      </c>
      <c r="I71" s="228" t="str">
        <f>VLOOKUP($B71,Данные!$A$1:$U$1006,4,FALSE)</f>
        <v>176-264В AС</v>
      </c>
      <c r="J71" s="228">
        <f>VLOOKUP($B71,Данные!$A$1:$U$1006,5,FALSE)</f>
        <v>0.95</v>
      </c>
      <c r="K71" s="228" t="str">
        <f>VLOOKUP($B71,Данные!$A$1:$U$1006,13,FALSE)</f>
        <v xml:space="preserve"> -60°...+50° С</v>
      </c>
      <c r="L71" s="228" t="str">
        <f>VLOOKUP($B71,Данные!$A$1:$U$1006,14,FALSE)</f>
        <v>100 000 ч</v>
      </c>
      <c r="M71" s="228" t="str">
        <f>VLOOKUP($B71,Данные!$A$1:$U$1006,10,FALSE)</f>
        <v>1031х100х294</v>
      </c>
      <c r="N71" s="228">
        <f>VLOOKUP($B71,Данные!$A$1:$U$1006,11,FALSE)</f>
        <v>0</v>
      </c>
      <c r="O71" s="93" t="str">
        <f>VLOOKUP($B71,Данные!$A$1:$U$1006,9,FALSE)</f>
        <v>-</v>
      </c>
      <c r="P71" s="74">
        <f>VLOOKUP($B71,Данные!$A$1:$U$1006,2,FALSE)</f>
        <v>192</v>
      </c>
      <c r="Q71" s="225">
        <f>VLOOKUP($B71,Данные!$A$1:$U$1006,3,FALSE)</f>
        <v>24000</v>
      </c>
      <c r="R71" s="90" t="str">
        <f>VLOOKUP($B71,Данные!$A$1:$U$1006,15,FALSE)</f>
        <v>4000К</v>
      </c>
      <c r="S71" s="90">
        <f>VLOOKUP($B71,Данные!$A$1:$U$1006,7,FALSE)</f>
        <v>67</v>
      </c>
      <c r="T71" s="225" t="str">
        <f>VLOOKUP($B71,Данные!$A$1:$U$1006,16,FALSE)</f>
        <v>3 года</v>
      </c>
      <c r="U71" s="408">
        <v>8725</v>
      </c>
    </row>
    <row r="72" spans="1:22" ht="140.1" customHeight="1">
      <c r="A72" s="373"/>
      <c r="B72" s="11" t="s">
        <v>510</v>
      </c>
      <c r="C72" s="190">
        <f>VLOOKUP(B72,Данные!A:Z,26,FALSE)</f>
        <v>9051</v>
      </c>
      <c r="D72" s="342" t="s">
        <v>515</v>
      </c>
      <c r="E72" s="344" t="s">
        <v>540</v>
      </c>
      <c r="F72" s="82" t="str">
        <f>VLOOKUP($B72,Данные!$A$1:$U$1006,6,FALSE)</f>
        <v>Л (полуширокая)</v>
      </c>
      <c r="G72" s="226">
        <f>VLOOKUP($B72,Данные!$A$1:$U$1006,8,FALSE)</f>
        <v>0</v>
      </c>
      <c r="H72" s="226" t="str">
        <f>VLOOKUP($B72,Данные!$A$1:$U$1006,12,FALSE)</f>
        <v>Экструдированный алюминиевый профиль (анодированный), прозрачное минеральное стекло**</v>
      </c>
      <c r="I72" s="226" t="str">
        <f>VLOOKUP($B72,Данные!$A$1:$U$1006,4,FALSE)</f>
        <v>176-264В AС</v>
      </c>
      <c r="J72" s="226">
        <f>VLOOKUP($B72,Данные!$A$1:$U$1006,5,FALSE)</f>
        <v>0.95</v>
      </c>
      <c r="K72" s="226" t="str">
        <f>VLOOKUP($B72,Данные!$A$1:$U$1006,13,FALSE)</f>
        <v xml:space="preserve"> -60°...+50° С</v>
      </c>
      <c r="L72" s="226" t="str">
        <f>VLOOKUP($B72,Данные!$A$1:$U$1006,14,FALSE)</f>
        <v>100 000 ч</v>
      </c>
      <c r="M72" s="226" t="str">
        <f>VLOOKUP($B72,Данные!$A$1:$U$1006,10,FALSE)</f>
        <v>497х210х146</v>
      </c>
      <c r="N72" s="226">
        <f>VLOOKUP($B72,Данные!$A$1:$U$1006,11,FALSE)</f>
        <v>0</v>
      </c>
      <c r="O72" s="91" t="str">
        <f>VLOOKUP($B72,Данные!$A$1:$U$1006,9,FALSE)</f>
        <v>-</v>
      </c>
      <c r="P72" s="33">
        <f>VLOOKUP($B72,Данные!$A$1:$U$1006,2,FALSE)</f>
        <v>192</v>
      </c>
      <c r="Q72" s="223">
        <f>VLOOKUP($B72,Данные!$A$1:$U$1006,3,FALSE)</f>
        <v>24000</v>
      </c>
      <c r="R72" s="88" t="str">
        <f>VLOOKUP($B72,Данные!$A$1:$U$1006,15,FALSE)</f>
        <v>4000К</v>
      </c>
      <c r="S72" s="88">
        <f>VLOOKUP($B72,Данные!$A$1:$U$1006,7,FALSE)</f>
        <v>67</v>
      </c>
      <c r="T72" s="223" t="str">
        <f>VLOOKUP($B72,Данные!$A$1:$U$1006,16,FALSE)</f>
        <v>3 года</v>
      </c>
      <c r="U72" s="406">
        <v>10010</v>
      </c>
    </row>
    <row r="73" spans="1:22" ht="140.1" customHeight="1" thickBot="1">
      <c r="A73" s="372"/>
      <c r="B73" s="16" t="s">
        <v>511</v>
      </c>
      <c r="C73" s="191">
        <f>VLOOKUP(B73,Данные!A:Z,26,FALSE)</f>
        <v>9052</v>
      </c>
      <c r="D73" s="343"/>
      <c r="E73" s="345" t="str">
        <f t="shared" ref="E73" si="5">CONCATENATE(CONCATENATE($F$3,": ",$F73,CHAR(10),$G$3,": ",$G73,CHAR(10),$H$3,": ",$H73,CHAR(10),$I$3,": ",$I73,CHAR(10),$J$3,": ",$J73,CHAR(10),$K$3,": ",$K73,CHAR(10),$L$3,": ",$L73,CHAR(10)),CONCATENATE($M$3,": ",$M73,CHAR(10),$N$3,": ",$N73))</f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583х210х169
Вес, кг: 0</v>
      </c>
      <c r="F73" s="228" t="str">
        <f>VLOOKUP($B73,Данные!$A$1:$U$1006,6,FALSE)</f>
        <v>Л (полуширокая)</v>
      </c>
      <c r="G73" s="228">
        <f>VLOOKUP($B73,Данные!$A$1:$U$1006,8,FALSE)</f>
        <v>0</v>
      </c>
      <c r="H73" s="228" t="str">
        <f>VLOOKUP($B73,Данные!$A$1:$U$1006,12,FALSE)</f>
        <v>Экструдированный алюминиевый профиль (анодированный), прозрачное минеральное стекло**</v>
      </c>
      <c r="I73" s="228" t="str">
        <f>VLOOKUP($B73,Данные!$A$1:$U$1006,4,FALSE)</f>
        <v>176-264В AС</v>
      </c>
      <c r="J73" s="228">
        <f>VLOOKUP($B73,Данные!$A$1:$U$1006,5,FALSE)</f>
        <v>0.95</v>
      </c>
      <c r="K73" s="228" t="str">
        <f>VLOOKUP($B73,Данные!$A$1:$U$1006,13,FALSE)</f>
        <v xml:space="preserve"> -60°...+50° С</v>
      </c>
      <c r="L73" s="228" t="str">
        <f>VLOOKUP($B73,Данные!$A$1:$U$1006,14,FALSE)</f>
        <v>100 000 ч</v>
      </c>
      <c r="M73" s="228" t="str">
        <f>VLOOKUP($B73,Данные!$A$1:$U$1006,10,FALSE)</f>
        <v>583х210х169</v>
      </c>
      <c r="N73" s="228">
        <f>VLOOKUP($B73,Данные!$A$1:$U$1006,11,FALSE)</f>
        <v>0</v>
      </c>
      <c r="O73" s="93" t="str">
        <f>VLOOKUP($B73,Данные!$A$1:$U$1006,9,FALSE)</f>
        <v>-</v>
      </c>
      <c r="P73" s="74">
        <f>VLOOKUP($B73,Данные!$A$1:$U$1006,2,FALSE)</f>
        <v>248</v>
      </c>
      <c r="Q73" s="225">
        <f>VLOOKUP($B73,Данные!$A$1:$U$1006,3,FALSE)</f>
        <v>31000</v>
      </c>
      <c r="R73" s="90" t="str">
        <f>VLOOKUP($B73,Данные!$A$1:$U$1006,15,FALSE)</f>
        <v>4000К</v>
      </c>
      <c r="S73" s="90">
        <f>VLOOKUP($B73,Данные!$A$1:$U$1006,7,FALSE)</f>
        <v>67</v>
      </c>
      <c r="T73" s="225" t="str">
        <f>VLOOKUP($B73,Данные!$A$1:$U$1006,16,FALSE)</f>
        <v>3 года</v>
      </c>
      <c r="U73" s="408">
        <v>11440</v>
      </c>
    </row>
    <row r="74" spans="1:22" ht="69.900000000000006" customHeight="1">
      <c r="A74" s="346"/>
      <c r="B74" s="17" t="s">
        <v>498</v>
      </c>
      <c r="C74" s="185">
        <f>VLOOKUP(B74,Данные!A:Z,26,FALSE)</f>
        <v>9065</v>
      </c>
      <c r="D74" s="342" t="s">
        <v>515</v>
      </c>
      <c r="E74" s="344" t="str">
        <f>CONCATENATE(CONCATENATE($F$3,": ",$F74,CHAR(10),$H$3,": ",$H74,CHAR(10),$I$3,": ",$I74,CHAR(10),$J$3,": ",$J74,CHAR(10),$K$3,": ",$K74,CHAR(10),$L$3,": ",$L74,CHAR(10)),"*Цветовая темп.:
 4000К;"," 
 **Рассеиватель: 
 - силикатное стекло.")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4000К; 
 **Рассеиватель: 
 - силикатное стекло.</v>
      </c>
      <c r="F74" s="248" t="str">
        <f>VLOOKUP($B74,Данные!$A$1:$U$1006,6,FALSE)</f>
        <v>Л (полуширокая)</v>
      </c>
      <c r="G74" s="248">
        <f>VLOOKUP($B74,Данные!$A$1:$U$1006,8,FALSE)</f>
        <v>0</v>
      </c>
      <c r="H74" s="248" t="str">
        <f>VLOOKUP($B74,Данные!$A$1:$U$1006,12,FALSE)</f>
        <v>Экструдированный алюминиевый профиль (анодированный), прозрачное минеральное стекло**</v>
      </c>
      <c r="I74" s="248" t="str">
        <f>VLOOKUP($B74,Данные!$A$1:$U$1006,4,FALSE)</f>
        <v>176-264В AС</v>
      </c>
      <c r="J74" s="248">
        <f>VLOOKUP($B74,Данные!$A$1:$U$1006,5,FALSE)</f>
        <v>0.95</v>
      </c>
      <c r="K74" s="248" t="str">
        <f>VLOOKUP($B74,Данные!$A$1:$U$1006,13,FALSE)</f>
        <v xml:space="preserve"> -60°...+50° С</v>
      </c>
      <c r="L74" s="248" t="str">
        <f>VLOOKUP($B74,Данные!$A$1:$U$1006,14,FALSE)</f>
        <v>100 000 ч</v>
      </c>
      <c r="M74" s="248" t="str">
        <f>VLOOKUP($B74,Данные!$A$1:$U$1006,10,FALSE)</f>
        <v>224x326x126</v>
      </c>
      <c r="N74" s="248">
        <f>VLOOKUP($B74,Данные!$A$1:$U$1006,11,FALSE)</f>
        <v>0</v>
      </c>
      <c r="O74" s="91" t="str">
        <f>VLOOKUP($B74,Данные!$A$1:$U$1006,9,FALSE)</f>
        <v>-</v>
      </c>
      <c r="P74" s="33">
        <f>VLOOKUP($B74,Данные!$A$1:$U$1006,2,FALSE)</f>
        <v>96</v>
      </c>
      <c r="Q74" s="245">
        <f>VLOOKUP($B74,Данные!$A$1:$U$1006,3,FALSE)</f>
        <v>12000</v>
      </c>
      <c r="R74" s="88" t="str">
        <f>VLOOKUP($B74,Данные!$A$1:$U$1006,15,FALSE)</f>
        <v>4000К</v>
      </c>
      <c r="S74" s="88">
        <f>VLOOKUP($B74,Данные!$A$1:$U$1006,7,FALSE)</f>
        <v>67</v>
      </c>
      <c r="T74" s="245" t="str">
        <f>VLOOKUP($B74,Данные!$A$1:$U$1006,16,FALSE)</f>
        <v>3 года</v>
      </c>
      <c r="U74" s="406">
        <v>6220</v>
      </c>
    </row>
    <row r="75" spans="1:22" ht="69.900000000000006" customHeight="1">
      <c r="A75" s="347"/>
      <c r="B75" s="18" t="s">
        <v>499</v>
      </c>
      <c r="C75" s="186">
        <f>VLOOKUP(B75,Данные!A:Z,26,FALSE)</f>
        <v>9066</v>
      </c>
      <c r="D75" s="337"/>
      <c r="E75" s="338" t="str">
        <f t="shared" ref="E75:E79" si="6">CONCATENATE(CONCATENATE($F$3,": ",$F75,CHAR(10),$G$3,": ",$G75,CHAR(10),$H$3,": ",$H75,CHAR(10),$I$3,": ",$I75,CHAR(10),$J$3,": ",$J75,CHAR(10),$K$3,": ",$K75,CHAR(10),$L$3,": ",$L75,CHAR(10)),CONCATENATE($M$3,": ",$M75,CHAR(10),$N$3,": ",$N75))</f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274x326x126
Вес, кг: 0</v>
      </c>
      <c r="F75" s="249" t="str">
        <f>VLOOKUP($B75,Данные!$A$1:$U$1006,6,FALSE)</f>
        <v>Л (полуширокая)</v>
      </c>
      <c r="G75" s="249">
        <f>VLOOKUP($B75,Данные!$A$1:$U$1006,8,FALSE)</f>
        <v>0</v>
      </c>
      <c r="H75" s="249" t="str">
        <f>VLOOKUP($B75,Данные!$A$1:$U$1006,12,FALSE)</f>
        <v>Экструдированный алюминиевый профиль (анодированный), прозрачное минеральное стекло**</v>
      </c>
      <c r="I75" s="249" t="str">
        <f>VLOOKUP($B75,Данные!$A$1:$U$1006,4,FALSE)</f>
        <v>176-264В AС</v>
      </c>
      <c r="J75" s="249">
        <f>VLOOKUP($B75,Данные!$A$1:$U$1006,5,FALSE)</f>
        <v>0.95</v>
      </c>
      <c r="K75" s="249" t="str">
        <f>VLOOKUP($B75,Данные!$A$1:$U$1006,13,FALSE)</f>
        <v xml:space="preserve"> -60°...+50° С</v>
      </c>
      <c r="L75" s="249" t="str">
        <f>VLOOKUP($B75,Данные!$A$1:$U$1006,14,FALSE)</f>
        <v>100 000 ч</v>
      </c>
      <c r="M75" s="249" t="str">
        <f>VLOOKUP($B75,Данные!$A$1:$U$1006,10,FALSE)</f>
        <v>274x326x126</v>
      </c>
      <c r="N75" s="249">
        <f>VLOOKUP($B75,Данные!$A$1:$U$1006,11,FALSE)</f>
        <v>0</v>
      </c>
      <c r="O75" s="92" t="str">
        <f>VLOOKUP($B75,Данные!$A$1:$U$1006,9,FALSE)</f>
        <v>-</v>
      </c>
      <c r="P75" s="34">
        <f>VLOOKUP($B75,Данные!$A$1:$U$1006,2,FALSE)</f>
        <v>144</v>
      </c>
      <c r="Q75" s="246">
        <f>VLOOKUP($B75,Данные!$A$1:$U$1006,3,FALSE)</f>
        <v>18000</v>
      </c>
      <c r="R75" s="89" t="str">
        <f>VLOOKUP($B75,Данные!$A$1:$U$1006,15,FALSE)</f>
        <v>4000К</v>
      </c>
      <c r="S75" s="89">
        <f>VLOOKUP($B75,Данные!$A$1:$U$1006,7,FALSE)</f>
        <v>67</v>
      </c>
      <c r="T75" s="246" t="str">
        <f>VLOOKUP($B75,Данные!$A$1:$U$1006,16,FALSE)</f>
        <v>3 года</v>
      </c>
      <c r="U75" s="407">
        <v>7510</v>
      </c>
    </row>
    <row r="76" spans="1:22" ht="69.900000000000006" customHeight="1">
      <c r="A76" s="347"/>
      <c r="B76" s="18" t="s">
        <v>500</v>
      </c>
      <c r="C76" s="186">
        <f>VLOOKUP(B76,Данные!A:Z,26,FALSE)</f>
        <v>9067</v>
      </c>
      <c r="D76" s="337"/>
      <c r="E76" s="338"/>
      <c r="F76" s="249" t="str">
        <f>VLOOKUP($B76,Данные!$A$1:$U$1006,6,FALSE)</f>
        <v>Л (полуширокая)</v>
      </c>
      <c r="G76" s="249">
        <f>VLOOKUP($B76,Данные!$A$1:$U$1006,8,FALSE)</f>
        <v>0</v>
      </c>
      <c r="H76" s="249" t="str">
        <f>VLOOKUP($B76,Данные!$A$1:$U$1006,12,FALSE)</f>
        <v>Экструдированный алюминиевый профиль (анодированный), прозрачное минеральное стекло**</v>
      </c>
      <c r="I76" s="249" t="str">
        <f>VLOOKUP($B76,Данные!$A$1:$U$1006,4,FALSE)</f>
        <v>176-264В AС</v>
      </c>
      <c r="J76" s="249">
        <f>VLOOKUP($B76,Данные!$A$1:$U$1006,5,FALSE)</f>
        <v>0.95</v>
      </c>
      <c r="K76" s="249" t="str">
        <f>VLOOKUP($B76,Данные!$A$1:$U$1006,13,FALSE)</f>
        <v xml:space="preserve"> -60°...+50° С</v>
      </c>
      <c r="L76" s="249" t="str">
        <f>VLOOKUP($B76,Данные!$A$1:$U$1006,14,FALSE)</f>
        <v>100 000 ч</v>
      </c>
      <c r="M76" s="249" t="str">
        <f>VLOOKUP($B76,Данные!$A$1:$U$1006,10,FALSE)</f>
        <v>324x326x126</v>
      </c>
      <c r="N76" s="249">
        <f>VLOOKUP($B76,Данные!$A$1:$U$1006,11,FALSE)</f>
        <v>0</v>
      </c>
      <c r="O76" s="92" t="str">
        <f>VLOOKUP($B76,Данные!$A$1:$U$1006,9,FALSE)</f>
        <v>-</v>
      </c>
      <c r="P76" s="34">
        <f>VLOOKUP($B76,Данные!$A$1:$U$1006,2,FALSE)</f>
        <v>186</v>
      </c>
      <c r="Q76" s="246">
        <f>VLOOKUP($B76,Данные!$A$1:$U$1006,3,FALSE)</f>
        <v>23250</v>
      </c>
      <c r="R76" s="89" t="str">
        <f>VLOOKUP($B76,Данные!$A$1:$U$1006,15,FALSE)</f>
        <v>4000К</v>
      </c>
      <c r="S76" s="89">
        <f>VLOOKUP($B76,Данные!$A$1:$U$1006,7,FALSE)</f>
        <v>67</v>
      </c>
      <c r="T76" s="246" t="str">
        <f>VLOOKUP($B76,Данные!$A$1:$U$1006,16,FALSE)</f>
        <v>3 года</v>
      </c>
      <c r="U76" s="407">
        <v>8580</v>
      </c>
    </row>
    <row r="77" spans="1:22" ht="69.900000000000006" customHeight="1">
      <c r="A77" s="347"/>
      <c r="B77" s="18" t="s">
        <v>501</v>
      </c>
      <c r="C77" s="186">
        <f>VLOOKUP(B77,Данные!A:Z,26,FALSE)</f>
        <v>9028</v>
      </c>
      <c r="D77" s="337"/>
      <c r="E77" s="338"/>
      <c r="F77" s="249" t="str">
        <f>VLOOKUP($B77,Данные!$A$1:$U$1006,6,FALSE)</f>
        <v>Л (полуширокая)</v>
      </c>
      <c r="G77" s="249">
        <f>VLOOKUP($B77,Данные!$A$1:$U$1006,8,FALSE)</f>
        <v>0</v>
      </c>
      <c r="H77" s="249" t="str">
        <f>VLOOKUP($B77,Данные!$A$1:$U$1006,12,FALSE)</f>
        <v>Экструдированный алюминиевый профиль (анодированный), прозрачное минеральное стекло**</v>
      </c>
      <c r="I77" s="249" t="str">
        <f>VLOOKUP($B77,Данные!$A$1:$U$1006,4,FALSE)</f>
        <v>176-264В AС</v>
      </c>
      <c r="J77" s="249">
        <f>VLOOKUP($B77,Данные!$A$1:$U$1006,5,FALSE)</f>
        <v>0.95</v>
      </c>
      <c r="K77" s="249" t="str">
        <f>VLOOKUP($B77,Данные!$A$1:$U$1006,13,FALSE)</f>
        <v xml:space="preserve"> -60°...+50° С</v>
      </c>
      <c r="L77" s="249" t="str">
        <f>VLOOKUP($B77,Данные!$A$1:$U$1006,14,FALSE)</f>
        <v>100 000 ч.</v>
      </c>
      <c r="M77" s="249" t="str">
        <f>VLOOKUP($B77,Данные!$A$1:$U$1006,10,FALSE)</f>
        <v>464х326х133</v>
      </c>
      <c r="N77" s="249">
        <f>VLOOKUP($B77,Данные!$A$1:$U$1006,11,FALSE)</f>
        <v>0</v>
      </c>
      <c r="O77" s="92" t="str">
        <f>VLOOKUP($B77,Данные!$A$1:$U$1006,9,FALSE)</f>
        <v>-</v>
      </c>
      <c r="P77" s="34">
        <f>VLOOKUP($B77,Данные!$A$1:$U$1006,2,FALSE)</f>
        <v>240</v>
      </c>
      <c r="Q77" s="246">
        <f>VLOOKUP($B77,Данные!$A$1:$U$1006,3,FALSE)</f>
        <v>30000</v>
      </c>
      <c r="R77" s="89" t="str">
        <f>VLOOKUP($B77,Данные!$A$1:$U$1006,15,FALSE)</f>
        <v>4000К</v>
      </c>
      <c r="S77" s="89">
        <f>VLOOKUP($B77,Данные!$A$1:$U$1006,7,FALSE)</f>
        <v>67</v>
      </c>
      <c r="T77" s="246" t="str">
        <f>VLOOKUP($B77,Данные!$A$1:$U$1006,16,FALSE)</f>
        <v>3 года</v>
      </c>
      <c r="U77" s="407">
        <v>12655</v>
      </c>
    </row>
    <row r="78" spans="1:22" ht="69.900000000000006" customHeight="1">
      <c r="A78" s="347"/>
      <c r="B78" s="18" t="s">
        <v>502</v>
      </c>
      <c r="C78" s="186">
        <f>VLOOKUP(B78,Данные!A:Z,26,FALSE)</f>
        <v>9068</v>
      </c>
      <c r="D78" s="337"/>
      <c r="E78" s="338" t="str">
        <f t="shared" si="6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524x326x133
Вес, кг: 0</v>
      </c>
      <c r="F78" s="249" t="str">
        <f>VLOOKUP($B78,Данные!$A$1:$U$1006,6,FALSE)</f>
        <v>Л (полуширокая)</v>
      </c>
      <c r="G78" s="249">
        <f>VLOOKUP($B78,Данные!$A$1:$U$1006,8,FALSE)</f>
        <v>0</v>
      </c>
      <c r="H78" s="249" t="str">
        <f>VLOOKUP($B78,Данные!$A$1:$U$1006,12,FALSE)</f>
        <v>Экструдированный алюминиевый профиль (анодированный), прозрачное минеральное стекло**</v>
      </c>
      <c r="I78" s="249" t="str">
        <f>VLOOKUP($B78,Данные!$A$1:$U$1006,4,FALSE)</f>
        <v>176-264В AС</v>
      </c>
      <c r="J78" s="249">
        <f>VLOOKUP($B78,Данные!$A$1:$U$1006,5,FALSE)</f>
        <v>0.95</v>
      </c>
      <c r="K78" s="249" t="str">
        <f>VLOOKUP($B78,Данные!$A$1:$U$1006,13,FALSE)</f>
        <v xml:space="preserve"> -60°...+50° С</v>
      </c>
      <c r="L78" s="249" t="str">
        <f>VLOOKUP($B78,Данные!$A$1:$U$1006,14,FALSE)</f>
        <v>100 000 ч</v>
      </c>
      <c r="M78" s="249" t="str">
        <f>VLOOKUP($B78,Данные!$A$1:$U$1006,10,FALSE)</f>
        <v>524x326x133</v>
      </c>
      <c r="N78" s="249">
        <f>VLOOKUP($B78,Данные!$A$1:$U$1006,11,FALSE)</f>
        <v>0</v>
      </c>
      <c r="O78" s="92" t="str">
        <f>VLOOKUP($B78,Данные!$A$1:$U$1006,9,FALSE)</f>
        <v>-</v>
      </c>
      <c r="P78" s="34">
        <f>VLOOKUP($B78,Данные!$A$1:$U$1006,2,FALSE)</f>
        <v>288</v>
      </c>
      <c r="Q78" s="246">
        <f>VLOOKUP($B78,Данные!$A$1:$U$1006,3,FALSE)</f>
        <v>36000</v>
      </c>
      <c r="R78" s="89" t="str">
        <f>VLOOKUP($B78,Данные!$A$1:$U$1006,15,FALSE)</f>
        <v>4000К</v>
      </c>
      <c r="S78" s="89">
        <f>VLOOKUP($B78,Данные!$A$1:$U$1006,7,FALSE)</f>
        <v>67</v>
      </c>
      <c r="T78" s="246" t="str">
        <f>VLOOKUP($B78,Данные!$A$1:$U$1006,16,FALSE)</f>
        <v>3 года</v>
      </c>
      <c r="U78" s="407">
        <v>13085</v>
      </c>
    </row>
    <row r="79" spans="1:22" ht="69.900000000000006" customHeight="1" thickBot="1">
      <c r="A79" s="348"/>
      <c r="B79" s="15" t="s">
        <v>503</v>
      </c>
      <c r="C79" s="187">
        <f>VLOOKUP(B79,Данные!A:Z,26,FALSE)</f>
        <v>9044</v>
      </c>
      <c r="D79" s="343"/>
      <c r="E79" s="345" t="str">
        <f t="shared" si="6"/>
        <v>КСС: Л (полуширокая)
Светодиоды: 0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624х326х133
Вес, кг: 0</v>
      </c>
      <c r="F79" s="250" t="str">
        <f>VLOOKUP($B79,Данные!$A$1:$U$1006,6,FALSE)</f>
        <v>Л (полуширокая)</v>
      </c>
      <c r="G79" s="250">
        <f>VLOOKUP($B79,Данные!$A$1:$U$1006,8,FALSE)</f>
        <v>0</v>
      </c>
      <c r="H79" s="250" t="str">
        <f>VLOOKUP($B79,Данные!$A$1:$U$1006,12,FALSE)</f>
        <v>Экструдированный алюминиевый профиль (анодированный), прозрачное минеральное стекло**</v>
      </c>
      <c r="I79" s="250" t="str">
        <f>VLOOKUP($B79,Данные!$A$1:$U$1006,4,FALSE)</f>
        <v>176-264В AС</v>
      </c>
      <c r="J79" s="250">
        <f>VLOOKUP($B79,Данные!$A$1:$U$1006,5,FALSE)</f>
        <v>0.95</v>
      </c>
      <c r="K79" s="250" t="str">
        <f>VLOOKUP($B79,Данные!$A$1:$U$1006,13,FALSE)</f>
        <v xml:space="preserve"> -60°...+50° С</v>
      </c>
      <c r="L79" s="250" t="str">
        <f>VLOOKUP($B79,Данные!$A$1:$U$1006,14,FALSE)</f>
        <v>100 000 ч.</v>
      </c>
      <c r="M79" s="250" t="str">
        <f>VLOOKUP($B79,Данные!$A$1:$U$1006,10,FALSE)</f>
        <v>624х326х133</v>
      </c>
      <c r="N79" s="250">
        <f>VLOOKUP($B79,Данные!$A$1:$U$1006,11,FALSE)</f>
        <v>0</v>
      </c>
      <c r="O79" s="93" t="str">
        <f>VLOOKUP($B79,Данные!$A$1:$U$1006,9,FALSE)</f>
        <v>-</v>
      </c>
      <c r="P79" s="74">
        <f>VLOOKUP($B79,Данные!$A$1:$U$1006,2,FALSE)</f>
        <v>372</v>
      </c>
      <c r="Q79" s="247">
        <f>VLOOKUP($B79,Данные!$A$1:$U$1006,3,FALSE)</f>
        <v>46500</v>
      </c>
      <c r="R79" s="90" t="str">
        <f>VLOOKUP($B79,Данные!$A$1:$U$1006,15,FALSE)</f>
        <v>4000К</v>
      </c>
      <c r="S79" s="90">
        <f>VLOOKUP($B79,Данные!$A$1:$U$1006,7,FALSE)</f>
        <v>67</v>
      </c>
      <c r="T79" s="247" t="str">
        <f>VLOOKUP($B79,Данные!$A$1:$U$1006,16,FALSE)</f>
        <v>3 года</v>
      </c>
      <c r="U79" s="408">
        <v>17160</v>
      </c>
    </row>
    <row r="80" spans="1:22" ht="39.9" customHeight="1" thickBot="1">
      <c r="A80" s="374" t="s">
        <v>517</v>
      </c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</row>
    <row r="81" spans="1:26" ht="140.1" customHeight="1">
      <c r="A81" s="273"/>
      <c r="B81" s="150" t="s">
        <v>549</v>
      </c>
      <c r="C81" s="188">
        <f>VLOOKUP(B81,Данные!A:Z,26,FALSE)</f>
        <v>9070</v>
      </c>
      <c r="D81" s="337" t="s">
        <v>522</v>
      </c>
      <c r="E81" s="338" t="str">
        <f>CONCATENATE(CONCATENATE($F$3,": ",$F81,CHAR(10),$H$3,": ",$H81,CHAR(10),$I$3,": ",$I81,CHAR(10),$J$3,": ",$J81,CHAR(10),$K$3,": ",$K81,CHAR(10),$L$3,": ",$L81,CHAR(10)),"*Цветовая темп.:
 4000К;"," 
 **Рассеиватель: 
 - силикатное стекло.")</f>
        <v>КСС: К (концентрированная), 27 гр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*Цветовая темп.:
 4000К; 
 **Рассеиватель: 
 - силикатное стекло.</v>
      </c>
      <c r="F81" s="249" t="str">
        <f>VLOOKUP($B81,Данные!$A$1:$U$1006,6,FALSE)</f>
        <v>К (концентрированная), 27 гр</v>
      </c>
      <c r="G81" s="249" t="str">
        <f>VLOOKUP($B81,Данные!$A$1:$U$1006,8,FALSE)</f>
        <v>Samsung LH351</v>
      </c>
      <c r="H81" s="249" t="str">
        <f>VLOOKUP($B81,Данные!$A$1:$U$1006,12,FALSE)</f>
        <v>Экструдированный алюминиевый профиль (анодированный), вторичная оптика из акрила (ПММА) с  силиконовой прокладкой</v>
      </c>
      <c r="I81" s="249" t="str">
        <f>VLOOKUP($B81,Данные!$A$1:$U$1006,4,FALSE)</f>
        <v>176-264В AС</v>
      </c>
      <c r="J81" s="249">
        <f>VLOOKUP($B81,Данные!$A$1:$U$1006,5,FALSE)</f>
        <v>0.95</v>
      </c>
      <c r="K81" s="249" t="str">
        <f>VLOOKUP($B81,Данные!$A$1:$U$1006,13,FALSE)</f>
        <v xml:space="preserve"> -60°...+50° С</v>
      </c>
      <c r="L81" s="249" t="str">
        <f>VLOOKUP($B81,Данные!$A$1:$U$1006,14,FALSE)</f>
        <v>50 000 ч</v>
      </c>
      <c r="M81" s="249" t="str">
        <f>VLOOKUP($B81,Данные!$A$1:$U$1006,10,FALSE)</f>
        <v>274х137х166</v>
      </c>
      <c r="N81" s="249">
        <f>VLOOKUP($B81,Данные!$A$1:$U$1006,11,FALSE)</f>
        <v>0</v>
      </c>
      <c r="O81" s="92" t="str">
        <f>VLOOKUP($B81,Данные!$A$1:$U$1006,9,FALSE)</f>
        <v>-</v>
      </c>
      <c r="P81" s="34">
        <f>VLOOKUP($B81,Данные!$A$1:$U$1006,2,FALSE)</f>
        <v>55</v>
      </c>
      <c r="Q81" s="246">
        <f>VLOOKUP($B81,Данные!$A$1:$U$1006,3,FALSE)</f>
        <v>7425</v>
      </c>
      <c r="R81" s="89" t="str">
        <f>VLOOKUP($B81,Данные!$A$1:$U$1006,15,FALSE)</f>
        <v>5000К</v>
      </c>
      <c r="S81" s="89">
        <f>VLOOKUP($B81,Данные!$A$1:$U$1006,7,FALSE)</f>
        <v>67</v>
      </c>
      <c r="T81" s="246" t="str">
        <f>VLOOKUP($B81,Данные!$A$1:$U$1006,16,FALSE)</f>
        <v>3 года</v>
      </c>
      <c r="U81" s="407">
        <v>3575</v>
      </c>
    </row>
    <row r="82" spans="1:26" ht="140.1" customHeight="1" thickBot="1">
      <c r="A82" s="275"/>
      <c r="B82" s="150" t="s">
        <v>551</v>
      </c>
      <c r="C82" s="188">
        <f>VLOOKUP(B82,Данные!A:Z,26,FALSE)</f>
        <v>9072</v>
      </c>
      <c r="D82" s="337"/>
      <c r="E82" s="338"/>
      <c r="F82" s="249" t="str">
        <f>VLOOKUP($B82,Данные!$A$1:$U$1006,6,FALSE)</f>
        <v>К (концентрированная), 27 гр</v>
      </c>
      <c r="G82" s="249" t="str">
        <f>VLOOKUP($B82,Данные!$A$1:$U$1006,8,FALSE)</f>
        <v>Samsung LH351</v>
      </c>
      <c r="H82" s="249" t="str">
        <f>VLOOKUP($B82,Данные!$A$1:$U$1006,12,FALSE)</f>
        <v>Экструдированный алюминиевый профиль (анодированный), вторичная оптика из акрила (ПММА) с  силиконовой прокладкой</v>
      </c>
      <c r="I82" s="249" t="str">
        <f>VLOOKUP($B82,Данные!$A$1:$U$1006,4,FALSE)</f>
        <v>176-264В AС</v>
      </c>
      <c r="J82" s="249">
        <f>VLOOKUP($B82,Данные!$A$1:$U$1006,5,FALSE)</f>
        <v>0.95</v>
      </c>
      <c r="K82" s="249" t="str">
        <f>VLOOKUP($B82,Данные!$A$1:$U$1006,13,FALSE)</f>
        <v xml:space="preserve"> -60°...+50° С</v>
      </c>
      <c r="L82" s="249" t="str">
        <f>VLOOKUP($B82,Данные!$A$1:$U$1006,14,FALSE)</f>
        <v>50 000 ч</v>
      </c>
      <c r="M82" s="249" t="str">
        <f>VLOOKUP($B82,Данные!$A$1:$U$1006,10,FALSE)</f>
        <v>274х137х137</v>
      </c>
      <c r="N82" s="249">
        <f>VLOOKUP($B82,Данные!$A$1:$U$1006,11,FALSE)</f>
        <v>0</v>
      </c>
      <c r="O82" s="92" t="str">
        <f>VLOOKUP($B82,Данные!$A$1:$U$1006,9,FALSE)</f>
        <v>-</v>
      </c>
      <c r="P82" s="34">
        <f>VLOOKUP($B82,Данные!$A$1:$U$1006,2,FALSE)</f>
        <v>55</v>
      </c>
      <c r="Q82" s="246">
        <f>VLOOKUP($B82,Данные!$A$1:$U$1006,3,FALSE)</f>
        <v>7425</v>
      </c>
      <c r="R82" s="89" t="str">
        <f>VLOOKUP($B82,Данные!$A$1:$U$1006,15,FALSE)</f>
        <v>5000К</v>
      </c>
      <c r="S82" s="89">
        <f>VLOOKUP($B82,Данные!$A$1:$U$1006,7,FALSE)</f>
        <v>67</v>
      </c>
      <c r="T82" s="246" t="str">
        <f>VLOOKUP($B82,Данные!$A$1:$U$1006,16,FALSE)</f>
        <v>3 года</v>
      </c>
      <c r="U82" s="407">
        <v>3575</v>
      </c>
    </row>
    <row r="83" spans="1:26" ht="140.1" customHeight="1">
      <c r="A83" s="273"/>
      <c r="B83" s="17" t="s">
        <v>550</v>
      </c>
      <c r="C83" s="268">
        <f>VLOOKUP(B83,Данные!A:Z,26,FALSE)</f>
        <v>9071</v>
      </c>
      <c r="D83" s="342" t="s">
        <v>522</v>
      </c>
      <c r="E83" s="344" t="str">
        <f>CONCATENATE(CONCATENATE($F$3,": ",$F83,CHAR(10),$H$3,": ",$H83,CHAR(10),$I$3,": ",$I83,CHAR(10),$J$3,": ",$J83,CHAR(10),$K$3,": ",$K83,CHAR(10),$L$3,": ",$L83,CHAR(10)),"*Цветовая темп.:
 4000К;"," 
 **Рассеиватель: 
 - силикатное стекло.")</f>
        <v>КСС: Г (глубокая), 58 гр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*Цветовая темп.:
 4000К; 
 **Рассеиватель: 
 - силикатное стекло.</v>
      </c>
      <c r="F83" s="253" t="str">
        <f>VLOOKUP($B83,Данные!$A$1:$U$1006,6,FALSE)</f>
        <v>Г (глубокая), 58 гр</v>
      </c>
      <c r="G83" s="253" t="str">
        <f>VLOOKUP($B83,Данные!$A$1:$U$1006,8,FALSE)</f>
        <v>Samsung LH351</v>
      </c>
      <c r="H83" s="253" t="str">
        <f>VLOOKUP($B83,Данные!$A$1:$U$1006,12,FALSE)</f>
        <v>Экструдированный алюминиевый профиль (анодированный), вторичная оптика из акрила (ПММА) с  силиконовой прокладкой</v>
      </c>
      <c r="I83" s="253" t="str">
        <f>VLOOKUP($B83,Данные!$A$1:$U$1006,4,FALSE)</f>
        <v>176-264В AС</v>
      </c>
      <c r="J83" s="253">
        <f>VLOOKUP($B83,Данные!$A$1:$U$1006,5,FALSE)</f>
        <v>0.95</v>
      </c>
      <c r="K83" s="253" t="str">
        <f>VLOOKUP($B83,Данные!$A$1:$U$1006,13,FALSE)</f>
        <v xml:space="preserve"> -60°...+50° С</v>
      </c>
      <c r="L83" s="253" t="str">
        <f>VLOOKUP($B83,Данные!$A$1:$U$1006,14,FALSE)</f>
        <v>50 000 ч</v>
      </c>
      <c r="M83" s="253" t="str">
        <f>VLOOKUP($B83,Данные!$A$1:$U$1006,10,FALSE)</f>
        <v>274х137х166</v>
      </c>
      <c r="N83" s="253">
        <f>VLOOKUP($B83,Данные!$A$1:$U$1006,11,FALSE)</f>
        <v>0</v>
      </c>
      <c r="O83" s="91" t="str">
        <f>VLOOKUP($B83,Данные!$A$1:$U$1006,9,FALSE)</f>
        <v>-</v>
      </c>
      <c r="P83" s="33">
        <f>VLOOKUP($B83,Данные!$A$1:$U$1006,2,FALSE)</f>
        <v>55</v>
      </c>
      <c r="Q83" s="251">
        <f>VLOOKUP($B83,Данные!$A$1:$U$1006,3,FALSE)</f>
        <v>7425</v>
      </c>
      <c r="R83" s="88" t="str">
        <f>VLOOKUP($B83,Данные!$A$1:$U$1006,15,FALSE)</f>
        <v>5000К</v>
      </c>
      <c r="S83" s="88">
        <f>VLOOKUP($B83,Данные!$A$1:$U$1006,7,FALSE)</f>
        <v>67</v>
      </c>
      <c r="T83" s="251" t="str">
        <f>VLOOKUP($B83,Данные!$A$1:$U$1006,16,FALSE)</f>
        <v>3 года</v>
      </c>
      <c r="U83" s="406">
        <v>3575</v>
      </c>
    </row>
    <row r="84" spans="1:26" ht="140.1" customHeight="1" thickBot="1">
      <c r="A84" s="274"/>
      <c r="B84" s="277" t="s">
        <v>552</v>
      </c>
      <c r="C84" s="187">
        <f>VLOOKUP(B84,Данные!A:Z,26,FALSE)</f>
        <v>9073</v>
      </c>
      <c r="D84" s="343"/>
      <c r="E84" s="345"/>
      <c r="F84" s="254" t="str">
        <f>VLOOKUP($B84,Данные!$A$1:$U$1006,6,FALSE)</f>
        <v>Г (глубокая), 58 гр</v>
      </c>
      <c r="G84" s="254" t="str">
        <f>VLOOKUP($B84,Данные!$A$1:$U$1006,8,FALSE)</f>
        <v>Samsung LH351</v>
      </c>
      <c r="H84" s="254" t="str">
        <f>VLOOKUP($B84,Данные!$A$1:$U$1006,12,FALSE)</f>
        <v>Экструдированный алюминиевый профиль (анодированный), вторичная оптика из акрила (ПММА) с  силиконовой прокладкой</v>
      </c>
      <c r="I84" s="254" t="str">
        <f>VLOOKUP($B84,Данные!$A$1:$U$1006,4,FALSE)</f>
        <v>176-264В AС</v>
      </c>
      <c r="J84" s="254">
        <f>VLOOKUP($B84,Данные!$A$1:$U$1006,5,FALSE)</f>
        <v>0.95</v>
      </c>
      <c r="K84" s="254" t="str">
        <f>VLOOKUP($B84,Данные!$A$1:$U$1006,13,FALSE)</f>
        <v xml:space="preserve"> -60°...+50° С</v>
      </c>
      <c r="L84" s="254" t="str">
        <f>VLOOKUP($B84,Данные!$A$1:$U$1006,14,FALSE)</f>
        <v>50 000 ч</v>
      </c>
      <c r="M84" s="254" t="str">
        <f>VLOOKUP($B84,Данные!$A$1:$U$1006,10,FALSE)</f>
        <v>274х137х137</v>
      </c>
      <c r="N84" s="254">
        <f>VLOOKUP($B84,Данные!$A$1:$U$1006,11,FALSE)</f>
        <v>0</v>
      </c>
      <c r="O84" s="93" t="str">
        <f>VLOOKUP($B84,Данные!$A$1:$U$1006,9,FALSE)</f>
        <v>-</v>
      </c>
      <c r="P84" s="74">
        <f>VLOOKUP($B84,Данные!$A$1:$U$1006,2,FALSE)</f>
        <v>55</v>
      </c>
      <c r="Q84" s="252">
        <f>VLOOKUP($B84,Данные!$A$1:$U$1006,3,FALSE)</f>
        <v>7425</v>
      </c>
      <c r="R84" s="90" t="str">
        <f>VLOOKUP($B84,Данные!$A$1:$U$1006,15,FALSE)</f>
        <v>5000К</v>
      </c>
      <c r="S84" s="90">
        <f>VLOOKUP($B84,Данные!$A$1:$U$1006,7,FALSE)</f>
        <v>67</v>
      </c>
      <c r="T84" s="252" t="str">
        <f>VLOOKUP($B84,Данные!$A$1:$U$1006,16,FALSE)</f>
        <v>3 года</v>
      </c>
      <c r="U84" s="408">
        <v>3575</v>
      </c>
    </row>
    <row r="85" spans="1:26" ht="39.9" customHeight="1" thickBot="1">
      <c r="A85" s="374" t="s">
        <v>523</v>
      </c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</row>
    <row r="86" spans="1:26" ht="140.1" customHeight="1">
      <c r="A86" s="273"/>
      <c r="B86" s="267" t="s">
        <v>520</v>
      </c>
      <c r="C86" s="268">
        <f>VLOOKUP(B86,Данные!A:Z,26,FALSE)</f>
        <v>9074</v>
      </c>
      <c r="D86" s="342" t="s">
        <v>524</v>
      </c>
      <c r="E86" s="344" t="str">
        <f>CONCATENATE(CONCATENATE($F$3,": ",$F86,CHAR(10),$H$3,": ",$H86,CHAR(10),$I$3,": ",$I86,CHAR(10),$J$3,": ",$J86,CHAR(10),$K$3,": ",$K86,CHAR(10),$L$3,": ",$L86,CHAR(10)),"*Цветовая темп.:
 4000К;"," 
 **Рассеиватель: 
 - силикатное стекло.")</f>
        <v>КСС: Ш (широкая), боковая, 45*140 гр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50 000 ч
*Цветовая темп.:
 4000К; 
 **Рассеиватель: 
 - силикатное стекло.</v>
      </c>
      <c r="F86" s="253" t="str">
        <f>VLOOKUP($B86,Данные!$A$1:$U$1006,6,FALSE)</f>
        <v>Ш (широкая), боковая, 45*140 гр</v>
      </c>
      <c r="G86" s="253" t="str">
        <f>VLOOKUP($B86,Данные!$A$1:$U$1006,8,FALSE)</f>
        <v>Samsung LH351</v>
      </c>
      <c r="H86" s="253" t="str">
        <f>VLOOKUP($B86,Данные!$A$1:$U$1006,12,FALSE)</f>
        <v>Экструдированный алюминиевый профиль (анодированный), вторичная оптика из акрила (ПММА) с  силиконовой прокладкой</v>
      </c>
      <c r="I86" s="253" t="str">
        <f>VLOOKUP($B86,Данные!$A$1:$U$1006,4,FALSE)</f>
        <v>176-264В AС</v>
      </c>
      <c r="J86" s="253">
        <f>VLOOKUP($B86,Данные!$A$1:$U$1006,5,FALSE)</f>
        <v>0.95</v>
      </c>
      <c r="K86" s="253" t="str">
        <f>VLOOKUP($B86,Данные!$A$1:$U$1006,13,FALSE)</f>
        <v xml:space="preserve"> -60°...+50° С</v>
      </c>
      <c r="L86" s="253" t="str">
        <f>VLOOKUP($B86,Данные!$A$1:$U$1006,14,FALSE)</f>
        <v>50 000 ч</v>
      </c>
      <c r="M86" s="253" t="str">
        <f>VLOOKUP($B86,Данные!$A$1:$U$1006,10,FALSE)</f>
        <v>274х137х166</v>
      </c>
      <c r="N86" s="253">
        <f>VLOOKUP($B86,Данные!$A$1:$U$1006,11,FALSE)</f>
        <v>0</v>
      </c>
      <c r="O86" s="91" t="str">
        <f>VLOOKUP($B86,Данные!$A$1:$U$1006,9,FALSE)</f>
        <v>-</v>
      </c>
      <c r="P86" s="33">
        <f>VLOOKUP($B86,Данные!$A$1:$U$1006,2,FALSE)</f>
        <v>55</v>
      </c>
      <c r="Q86" s="251">
        <f>VLOOKUP($B86,Данные!$A$1:$U$1006,3,FALSE)</f>
        <v>7425</v>
      </c>
      <c r="R86" s="88" t="str">
        <f>VLOOKUP($B86,Данные!$A$1:$U$1006,15,FALSE)</f>
        <v>5000К</v>
      </c>
      <c r="S86" s="88">
        <f>VLOOKUP($B86,Данные!$A$1:$U$1006,7,FALSE)</f>
        <v>67</v>
      </c>
      <c r="T86" s="251" t="str">
        <f>VLOOKUP($B86,Данные!$A$1:$U$1006,16,FALSE)</f>
        <v>3 года</v>
      </c>
      <c r="U86" s="406">
        <v>3575</v>
      </c>
    </row>
    <row r="87" spans="1:26" ht="140.1" customHeight="1" thickBot="1">
      <c r="A87" s="274"/>
      <c r="B87" s="15" t="s">
        <v>519</v>
      </c>
      <c r="C87" s="187">
        <f>VLOOKUP(B87,Данные!A:Z,26,FALSE)</f>
        <v>9075</v>
      </c>
      <c r="D87" s="343"/>
      <c r="E87" s="345"/>
      <c r="F87" s="254" t="str">
        <f>VLOOKUP($B87,Данные!$A$1:$U$1006,6,FALSE)</f>
        <v>Ш (широкая), боковая, 45*140 гр</v>
      </c>
      <c r="G87" s="254" t="str">
        <f>VLOOKUP($B87,Данные!$A$1:$U$1006,8,FALSE)</f>
        <v>Samsung LH351</v>
      </c>
      <c r="H87" s="254" t="str">
        <f>VLOOKUP($B87,Данные!$A$1:$U$1006,12,FALSE)</f>
        <v>Экструдированный алюминиевый профиль (анодированный), вторичная оптика из акрила (ПММА) с  силиконовой прокладкой</v>
      </c>
      <c r="I87" s="254" t="str">
        <f>VLOOKUP($B87,Данные!$A$1:$U$1006,4,FALSE)</f>
        <v>176-264В AС</v>
      </c>
      <c r="J87" s="254">
        <f>VLOOKUP($B87,Данные!$A$1:$U$1006,5,FALSE)</f>
        <v>0.95</v>
      </c>
      <c r="K87" s="254" t="str">
        <f>VLOOKUP($B87,Данные!$A$1:$U$1006,13,FALSE)</f>
        <v xml:space="preserve"> -60°...+50° С</v>
      </c>
      <c r="L87" s="254" t="str">
        <f>VLOOKUP($B87,Данные!$A$1:$U$1006,14,FALSE)</f>
        <v>50 000 ч</v>
      </c>
      <c r="M87" s="254" t="str">
        <f>VLOOKUP($B87,Данные!$A$1:$U$1006,10,FALSE)</f>
        <v>274х137х137</v>
      </c>
      <c r="N87" s="254">
        <f>VLOOKUP($B87,Данные!$A$1:$U$1006,11,FALSE)</f>
        <v>0</v>
      </c>
      <c r="O87" s="93" t="str">
        <f>VLOOKUP($B87,Данные!$A$1:$U$1006,9,FALSE)</f>
        <v>-</v>
      </c>
      <c r="P87" s="74">
        <f>VLOOKUP($B87,Данные!$A$1:$U$1006,2,FALSE)</f>
        <v>55</v>
      </c>
      <c r="Q87" s="252">
        <f>VLOOKUP($B87,Данные!$A$1:$U$1006,3,FALSE)</f>
        <v>7425</v>
      </c>
      <c r="R87" s="90" t="str">
        <f>VLOOKUP($B87,Данные!$A$1:$U$1006,15,FALSE)</f>
        <v>5000К</v>
      </c>
      <c r="S87" s="90">
        <f>VLOOKUP($B87,Данные!$A$1:$U$1006,7,FALSE)</f>
        <v>67</v>
      </c>
      <c r="T87" s="252" t="str">
        <f>VLOOKUP($B87,Данные!$A$1:$U$1006,16,FALSE)</f>
        <v>3 года</v>
      </c>
      <c r="U87" s="408">
        <v>9655</v>
      </c>
    </row>
    <row r="88" spans="1:26" ht="200.1" customHeight="1">
      <c r="A88" s="367" t="s">
        <v>539</v>
      </c>
      <c r="B88" s="368"/>
      <c r="C88" s="368"/>
      <c r="D88" s="368"/>
      <c r="E88" s="368"/>
      <c r="F88" s="368"/>
      <c r="G88" s="368"/>
      <c r="H88" s="368"/>
      <c r="I88" s="368"/>
      <c r="J88" s="368"/>
      <c r="K88" s="368"/>
      <c r="L88" s="368"/>
      <c r="M88" s="368"/>
      <c r="N88" s="368"/>
      <c r="O88" s="368"/>
      <c r="P88" s="368"/>
      <c r="Q88" s="368"/>
      <c r="R88" s="368"/>
      <c r="S88" s="368"/>
      <c r="T88" s="368"/>
      <c r="U88" s="368"/>
      <c r="V88" s="7"/>
      <c r="W88" s="7"/>
      <c r="X88" s="7"/>
      <c r="Y88" s="7"/>
      <c r="Z88" s="7"/>
    </row>
    <row r="107" spans="18:18">
      <c r="R107" s="2"/>
    </row>
  </sheetData>
  <mergeCells count="58">
    <mergeCell ref="A88:U88"/>
    <mergeCell ref="A65:U65"/>
    <mergeCell ref="D66:D71"/>
    <mergeCell ref="E66:E71"/>
    <mergeCell ref="A68:A71"/>
    <mergeCell ref="A72:A73"/>
    <mergeCell ref="D72:D73"/>
    <mergeCell ref="E72:E73"/>
    <mergeCell ref="A74:A79"/>
    <mergeCell ref="D74:D79"/>
    <mergeCell ref="E74:E79"/>
    <mergeCell ref="A80:U80"/>
    <mergeCell ref="A85:U85"/>
    <mergeCell ref="D86:D87"/>
    <mergeCell ref="E83:E84"/>
    <mergeCell ref="A53:A58"/>
    <mergeCell ref="D53:D58"/>
    <mergeCell ref="E53:E58"/>
    <mergeCell ref="E86:E87"/>
    <mergeCell ref="D83:D84"/>
    <mergeCell ref="D5:D10"/>
    <mergeCell ref="E5:E10"/>
    <mergeCell ref="A17:A22"/>
    <mergeCell ref="D17:D22"/>
    <mergeCell ref="E17:E22"/>
    <mergeCell ref="A29:A34"/>
    <mergeCell ref="D29:D34"/>
    <mergeCell ref="E29:E34"/>
    <mergeCell ref="A41:A46"/>
    <mergeCell ref="D41:D46"/>
    <mergeCell ref="E41:E46"/>
    <mergeCell ref="A35:A40"/>
    <mergeCell ref="D35:D40"/>
    <mergeCell ref="E35:E40"/>
    <mergeCell ref="A1:U1"/>
    <mergeCell ref="A2:A3"/>
    <mergeCell ref="B2:B3"/>
    <mergeCell ref="C2:C3"/>
    <mergeCell ref="D2:D3"/>
    <mergeCell ref="E2:S2"/>
    <mergeCell ref="T2:T3"/>
    <mergeCell ref="U2:U3"/>
    <mergeCell ref="A4:U4"/>
    <mergeCell ref="D81:D82"/>
    <mergeCell ref="E81:E82"/>
    <mergeCell ref="A47:A52"/>
    <mergeCell ref="D47:D52"/>
    <mergeCell ref="E47:E52"/>
    <mergeCell ref="A59:A64"/>
    <mergeCell ref="D59:D64"/>
    <mergeCell ref="E59:E64"/>
    <mergeCell ref="A23:A28"/>
    <mergeCell ref="D23:D28"/>
    <mergeCell ref="E23:E28"/>
    <mergeCell ref="A11:A16"/>
    <mergeCell ref="D11:D16"/>
    <mergeCell ref="E11:E16"/>
    <mergeCell ref="A5:A10"/>
  </mergeCells>
  <pageMargins left="0.25" right="0.25" top="0.75" bottom="0.75" header="0.3" footer="0.3"/>
  <pageSetup paperSize="9" scale="51" fitToHeight="0" orientation="landscape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22"/>
  <sheetViews>
    <sheetView zoomScaleNormal="100" workbookViewId="0"/>
  </sheetViews>
  <sheetFormatPr defaultRowHeight="13.2" outlineLevelCol="1"/>
  <cols>
    <col min="1" max="1" width="30.6640625" customWidth="1"/>
    <col min="2" max="4" width="3.6640625" style="6" hidden="1" customWidth="1" outlineLevel="1"/>
    <col min="5" max="7" width="3.6640625" style="4" hidden="1" customWidth="1" outlineLevel="1"/>
    <col min="8" max="8" width="3.6640625" style="10" hidden="1" customWidth="1" outlineLevel="1"/>
    <col min="9" max="9" width="3.6640625" style="4" hidden="1" customWidth="1" outlineLevel="1"/>
    <col min="10" max="10" width="3.6640625" style="86" hidden="1" customWidth="1" outlineLevel="1"/>
    <col min="11" max="15" width="3.6640625" style="324" hidden="1" customWidth="1" outlineLevel="1"/>
    <col min="16" max="16" width="3.6640625" style="86" hidden="1" customWidth="1" outlineLevel="1"/>
    <col min="17" max="17" width="22.6640625" hidden="1" customWidth="1"/>
    <col min="18" max="18" width="4.6640625" style="5" customWidth="1"/>
    <col min="19" max="19" width="0.109375" customWidth="1"/>
    <col min="20" max="20" width="9.109375" style="1"/>
    <col min="21" max="21" width="9.109375" style="1" customWidth="1"/>
    <col min="23" max="25" width="0.88671875" customWidth="1"/>
    <col min="26" max="26" width="8.33203125" customWidth="1"/>
    <col min="28" max="28" width="11.33203125" bestFit="1" customWidth="1"/>
  </cols>
  <sheetData>
    <row r="1" spans="1:28" s="50" customFormat="1" ht="13.8">
      <c r="A1" s="45" t="s">
        <v>100</v>
      </c>
      <c r="B1" s="46">
        <v>32</v>
      </c>
      <c r="C1" s="46">
        <f>B1*140</f>
        <v>4480</v>
      </c>
      <c r="D1" s="47" t="s">
        <v>25</v>
      </c>
      <c r="E1" s="46">
        <v>0.95</v>
      </c>
      <c r="F1" s="98" t="s">
        <v>8</v>
      </c>
      <c r="G1" s="46">
        <v>67</v>
      </c>
      <c r="H1" s="48" t="s">
        <v>98</v>
      </c>
      <c r="I1" s="46" t="s">
        <v>20</v>
      </c>
      <c r="J1" s="306" t="s">
        <v>39</v>
      </c>
      <c r="K1" s="307"/>
      <c r="L1" s="116" t="s">
        <v>542</v>
      </c>
      <c r="M1" s="116" t="s">
        <v>513</v>
      </c>
      <c r="N1" s="307" t="s">
        <v>24</v>
      </c>
      <c r="O1" s="308" t="s">
        <v>280</v>
      </c>
      <c r="P1" s="116" t="s">
        <v>288</v>
      </c>
      <c r="S1" s="215"/>
      <c r="T1" s="215">
        <v>1860</v>
      </c>
      <c r="U1" s="215">
        <v>2420</v>
      </c>
      <c r="V1" s="215">
        <v>2660</v>
      </c>
      <c r="W1" s="333"/>
      <c r="X1" s="333"/>
      <c r="Y1" s="333"/>
      <c r="Z1" s="215">
        <v>1001</v>
      </c>
      <c r="AB1" s="214"/>
    </row>
    <row r="2" spans="1:28" s="50" customFormat="1" ht="13.8">
      <c r="A2" s="45" t="s">
        <v>101</v>
      </c>
      <c r="B2" s="46">
        <v>32</v>
      </c>
      <c r="C2" s="46">
        <f t="shared" ref="C2:C68" si="0">B2*140</f>
        <v>4480</v>
      </c>
      <c r="D2" s="47" t="s">
        <v>25</v>
      </c>
      <c r="E2" s="46">
        <v>0.95</v>
      </c>
      <c r="F2" s="46" t="s">
        <v>8</v>
      </c>
      <c r="G2" s="46">
        <v>67</v>
      </c>
      <c r="H2" s="48" t="s">
        <v>98</v>
      </c>
      <c r="I2" s="46" t="s">
        <v>20</v>
      </c>
      <c r="J2" s="306" t="s">
        <v>43</v>
      </c>
      <c r="K2" s="307"/>
      <c r="L2" s="116" t="s">
        <v>542</v>
      </c>
      <c r="M2" s="116" t="s">
        <v>513</v>
      </c>
      <c r="N2" s="307" t="s">
        <v>24</v>
      </c>
      <c r="O2" s="308" t="s">
        <v>280</v>
      </c>
      <c r="P2" s="116" t="s">
        <v>288</v>
      </c>
      <c r="S2" s="215"/>
      <c r="T2" s="215">
        <v>1860</v>
      </c>
      <c r="U2" s="215">
        <v>2420</v>
      </c>
      <c r="V2" s="215">
        <v>2660</v>
      </c>
      <c r="W2" s="333"/>
      <c r="X2" s="333"/>
      <c r="Y2" s="333"/>
      <c r="Z2" s="215">
        <v>1002</v>
      </c>
      <c r="AB2" s="214"/>
    </row>
    <row r="3" spans="1:28" s="50" customFormat="1" ht="13.8">
      <c r="A3" s="45" t="s">
        <v>102</v>
      </c>
      <c r="B3" s="46">
        <v>64</v>
      </c>
      <c r="C3" s="46">
        <f t="shared" si="0"/>
        <v>8960</v>
      </c>
      <c r="D3" s="47" t="s">
        <v>25</v>
      </c>
      <c r="E3" s="46">
        <v>0.95</v>
      </c>
      <c r="F3" s="46" t="s">
        <v>8</v>
      </c>
      <c r="G3" s="46">
        <v>67</v>
      </c>
      <c r="H3" s="48" t="s">
        <v>98</v>
      </c>
      <c r="I3" s="46" t="s">
        <v>20</v>
      </c>
      <c r="J3" s="306" t="s">
        <v>47</v>
      </c>
      <c r="K3" s="309"/>
      <c r="L3" s="116" t="s">
        <v>542</v>
      </c>
      <c r="M3" s="116" t="s">
        <v>513</v>
      </c>
      <c r="N3" s="307" t="s">
        <v>24</v>
      </c>
      <c r="O3" s="308" t="s">
        <v>280</v>
      </c>
      <c r="P3" s="116" t="s">
        <v>288</v>
      </c>
      <c r="S3" s="216"/>
      <c r="T3" s="216">
        <v>3720</v>
      </c>
      <c r="U3" s="216">
        <v>4835</v>
      </c>
      <c r="V3" s="216">
        <v>5320</v>
      </c>
      <c r="W3" s="216"/>
      <c r="X3" s="216"/>
      <c r="Y3" s="216"/>
      <c r="Z3" s="216">
        <v>1003</v>
      </c>
      <c r="AB3" s="214"/>
    </row>
    <row r="4" spans="1:28" s="50" customFormat="1" ht="13.8">
      <c r="A4" s="45" t="s">
        <v>103</v>
      </c>
      <c r="B4" s="46">
        <v>64</v>
      </c>
      <c r="C4" s="46">
        <f t="shared" si="0"/>
        <v>8960</v>
      </c>
      <c r="D4" s="47" t="s">
        <v>25</v>
      </c>
      <c r="E4" s="46">
        <v>0.95</v>
      </c>
      <c r="F4" s="46" t="s">
        <v>8</v>
      </c>
      <c r="G4" s="46">
        <v>67</v>
      </c>
      <c r="H4" s="48" t="s">
        <v>98</v>
      </c>
      <c r="I4" s="46" t="s">
        <v>20</v>
      </c>
      <c r="J4" s="306" t="s">
        <v>51</v>
      </c>
      <c r="K4" s="309"/>
      <c r="L4" s="116" t="s">
        <v>542</v>
      </c>
      <c r="M4" s="116" t="s">
        <v>513</v>
      </c>
      <c r="N4" s="307" t="s">
        <v>24</v>
      </c>
      <c r="O4" s="308" t="s">
        <v>280</v>
      </c>
      <c r="P4" s="116" t="s">
        <v>288</v>
      </c>
      <c r="S4" s="216"/>
      <c r="T4" s="216">
        <v>3720</v>
      </c>
      <c r="U4" s="216">
        <v>4835</v>
      </c>
      <c r="V4" s="216">
        <v>5320</v>
      </c>
      <c r="W4" s="216"/>
      <c r="X4" s="216"/>
      <c r="Y4" s="216"/>
      <c r="Z4" s="216">
        <v>1004</v>
      </c>
      <c r="AB4" s="214"/>
    </row>
    <row r="5" spans="1:28" s="50" customFormat="1" ht="13.8">
      <c r="A5" s="45" t="s">
        <v>104</v>
      </c>
      <c r="B5" s="46">
        <v>64</v>
      </c>
      <c r="C5" s="46">
        <f t="shared" si="0"/>
        <v>8960</v>
      </c>
      <c r="D5" s="47" t="s">
        <v>25</v>
      </c>
      <c r="E5" s="46">
        <v>0.95</v>
      </c>
      <c r="F5" s="46" t="s">
        <v>19</v>
      </c>
      <c r="G5" s="46">
        <v>67</v>
      </c>
      <c r="H5" s="48" t="s">
        <v>98</v>
      </c>
      <c r="I5" s="46" t="s">
        <v>20</v>
      </c>
      <c r="J5" s="306" t="s">
        <v>59</v>
      </c>
      <c r="K5" s="309"/>
      <c r="L5" s="116" t="s">
        <v>542</v>
      </c>
      <c r="M5" s="116" t="s">
        <v>513</v>
      </c>
      <c r="N5" s="307" t="s">
        <v>24</v>
      </c>
      <c r="O5" s="308" t="s">
        <v>280</v>
      </c>
      <c r="P5" s="116" t="s">
        <v>288</v>
      </c>
      <c r="S5" s="216"/>
      <c r="T5" s="216">
        <v>3720</v>
      </c>
      <c r="U5" s="216">
        <v>4835</v>
      </c>
      <c r="V5" s="216">
        <v>5320</v>
      </c>
      <c r="W5" s="216"/>
      <c r="X5" s="216"/>
      <c r="Y5" s="216"/>
      <c r="Z5" s="216">
        <v>1005</v>
      </c>
      <c r="AB5" s="214"/>
    </row>
    <row r="6" spans="1:28" s="50" customFormat="1" ht="13.8">
      <c r="A6" s="45" t="s">
        <v>105</v>
      </c>
      <c r="B6" s="46">
        <v>64</v>
      </c>
      <c r="C6" s="46">
        <f t="shared" si="0"/>
        <v>8960</v>
      </c>
      <c r="D6" s="47" t="s">
        <v>25</v>
      </c>
      <c r="E6" s="46">
        <v>0.95</v>
      </c>
      <c r="F6" s="46" t="s">
        <v>19</v>
      </c>
      <c r="G6" s="46">
        <v>67</v>
      </c>
      <c r="H6" s="48" t="s">
        <v>98</v>
      </c>
      <c r="I6" s="46" t="s">
        <v>20</v>
      </c>
      <c r="J6" s="116" t="s">
        <v>55</v>
      </c>
      <c r="K6" s="309"/>
      <c r="L6" s="116" t="s">
        <v>542</v>
      </c>
      <c r="M6" s="116" t="s">
        <v>513</v>
      </c>
      <c r="N6" s="307" t="s">
        <v>24</v>
      </c>
      <c r="O6" s="308" t="s">
        <v>280</v>
      </c>
      <c r="P6" s="116" t="s">
        <v>288</v>
      </c>
      <c r="S6" s="216"/>
      <c r="T6" s="216">
        <v>3720</v>
      </c>
      <c r="U6" s="216">
        <v>4835</v>
      </c>
      <c r="V6" s="216">
        <v>5320</v>
      </c>
      <c r="W6" s="216"/>
      <c r="X6" s="216"/>
      <c r="Y6" s="216"/>
      <c r="Z6" s="216">
        <v>1006</v>
      </c>
      <c r="AB6" s="214"/>
    </row>
    <row r="7" spans="1:28" s="50" customFormat="1" ht="13.8">
      <c r="A7" s="45" t="s">
        <v>106</v>
      </c>
      <c r="B7" s="46">
        <v>48</v>
      </c>
      <c r="C7" s="46">
        <f t="shared" si="0"/>
        <v>6720</v>
      </c>
      <c r="D7" s="47" t="s">
        <v>25</v>
      </c>
      <c r="E7" s="46">
        <v>0.95</v>
      </c>
      <c r="F7" s="46" t="s">
        <v>8</v>
      </c>
      <c r="G7" s="46">
        <v>67</v>
      </c>
      <c r="H7" s="48" t="s">
        <v>98</v>
      </c>
      <c r="I7" s="46" t="s">
        <v>20</v>
      </c>
      <c r="J7" s="306" t="s">
        <v>40</v>
      </c>
      <c r="K7" s="307"/>
      <c r="L7" s="116" t="s">
        <v>542</v>
      </c>
      <c r="M7" s="116" t="s">
        <v>513</v>
      </c>
      <c r="N7" s="307" t="s">
        <v>24</v>
      </c>
      <c r="O7" s="308" t="s">
        <v>280</v>
      </c>
      <c r="P7" s="116" t="s">
        <v>288</v>
      </c>
      <c r="S7" s="215"/>
      <c r="T7" s="215">
        <v>2180</v>
      </c>
      <c r="U7" s="215">
        <v>2835</v>
      </c>
      <c r="V7" s="215">
        <v>3120</v>
      </c>
      <c r="W7" s="333"/>
      <c r="X7" s="333"/>
      <c r="Y7" s="333"/>
      <c r="Z7" s="215">
        <v>1007</v>
      </c>
      <c r="AB7" s="214"/>
    </row>
    <row r="8" spans="1:28" s="50" customFormat="1" ht="13.8">
      <c r="A8" s="45" t="s">
        <v>107</v>
      </c>
      <c r="B8" s="46">
        <v>48</v>
      </c>
      <c r="C8" s="46">
        <f t="shared" si="0"/>
        <v>6720</v>
      </c>
      <c r="D8" s="47" t="s">
        <v>25</v>
      </c>
      <c r="E8" s="46">
        <v>0.95</v>
      </c>
      <c r="F8" s="46" t="s">
        <v>8</v>
      </c>
      <c r="G8" s="46">
        <v>67</v>
      </c>
      <c r="H8" s="48" t="s">
        <v>98</v>
      </c>
      <c r="I8" s="46" t="s">
        <v>20</v>
      </c>
      <c r="J8" s="306" t="s">
        <v>44</v>
      </c>
      <c r="K8" s="307"/>
      <c r="L8" s="116" t="s">
        <v>542</v>
      </c>
      <c r="M8" s="116" t="s">
        <v>513</v>
      </c>
      <c r="N8" s="307" t="s">
        <v>24</v>
      </c>
      <c r="O8" s="308" t="s">
        <v>280</v>
      </c>
      <c r="P8" s="116" t="s">
        <v>288</v>
      </c>
      <c r="S8" s="215"/>
      <c r="T8" s="215">
        <v>2180</v>
      </c>
      <c r="U8" s="215">
        <v>2835</v>
      </c>
      <c r="V8" s="215">
        <v>3120</v>
      </c>
      <c r="W8" s="333"/>
      <c r="X8" s="333"/>
      <c r="Y8" s="333"/>
      <c r="Z8" s="215">
        <v>1008</v>
      </c>
      <c r="AB8" s="214"/>
    </row>
    <row r="9" spans="1:28" s="50" customFormat="1" ht="13.8">
      <c r="A9" s="45" t="s">
        <v>108</v>
      </c>
      <c r="B9" s="46">
        <v>96</v>
      </c>
      <c r="C9" s="46">
        <f t="shared" si="0"/>
        <v>13440</v>
      </c>
      <c r="D9" s="47" t="s">
        <v>25</v>
      </c>
      <c r="E9" s="46">
        <v>0.95</v>
      </c>
      <c r="F9" s="46" t="s">
        <v>8</v>
      </c>
      <c r="G9" s="46">
        <v>67</v>
      </c>
      <c r="H9" s="48" t="s">
        <v>98</v>
      </c>
      <c r="I9" s="46" t="s">
        <v>20</v>
      </c>
      <c r="J9" s="306" t="s">
        <v>48</v>
      </c>
      <c r="K9" s="309"/>
      <c r="L9" s="116" t="s">
        <v>542</v>
      </c>
      <c r="M9" s="116" t="s">
        <v>513</v>
      </c>
      <c r="N9" s="307" t="s">
        <v>24</v>
      </c>
      <c r="O9" s="308" t="s">
        <v>280</v>
      </c>
      <c r="P9" s="116" t="s">
        <v>288</v>
      </c>
      <c r="S9" s="216"/>
      <c r="T9" s="216">
        <v>4360</v>
      </c>
      <c r="U9" s="216">
        <v>5670</v>
      </c>
      <c r="V9" s="216">
        <v>6235</v>
      </c>
      <c r="W9" s="216"/>
      <c r="X9" s="216"/>
      <c r="Y9" s="216"/>
      <c r="Z9" s="216">
        <v>1009</v>
      </c>
      <c r="AB9" s="214"/>
    </row>
    <row r="10" spans="1:28" s="50" customFormat="1" ht="13.8">
      <c r="A10" s="45" t="s">
        <v>109</v>
      </c>
      <c r="B10" s="46">
        <v>96</v>
      </c>
      <c r="C10" s="46">
        <f t="shared" si="0"/>
        <v>13440</v>
      </c>
      <c r="D10" s="47" t="s">
        <v>25</v>
      </c>
      <c r="E10" s="46">
        <v>0.95</v>
      </c>
      <c r="F10" s="46" t="s">
        <v>8</v>
      </c>
      <c r="G10" s="46">
        <v>67</v>
      </c>
      <c r="H10" s="48" t="s">
        <v>98</v>
      </c>
      <c r="I10" s="46" t="s">
        <v>20</v>
      </c>
      <c r="J10" s="306" t="s">
        <v>52</v>
      </c>
      <c r="K10" s="309"/>
      <c r="L10" s="116" t="s">
        <v>542</v>
      </c>
      <c r="M10" s="116" t="s">
        <v>513</v>
      </c>
      <c r="N10" s="307" t="s">
        <v>24</v>
      </c>
      <c r="O10" s="308" t="s">
        <v>280</v>
      </c>
      <c r="P10" s="116" t="s">
        <v>288</v>
      </c>
      <c r="S10" s="216"/>
      <c r="T10" s="216">
        <v>4360</v>
      </c>
      <c r="U10" s="216">
        <v>5670</v>
      </c>
      <c r="V10" s="216">
        <v>6235</v>
      </c>
      <c r="W10" s="216"/>
      <c r="X10" s="216"/>
      <c r="Y10" s="216"/>
      <c r="Z10" s="216">
        <v>1010</v>
      </c>
      <c r="AB10" s="214"/>
    </row>
    <row r="11" spans="1:28" s="50" customFormat="1" ht="13.8">
      <c r="A11" s="45" t="s">
        <v>110</v>
      </c>
      <c r="B11" s="46">
        <v>96</v>
      </c>
      <c r="C11" s="46">
        <f t="shared" si="0"/>
        <v>13440</v>
      </c>
      <c r="D11" s="47" t="s">
        <v>25</v>
      </c>
      <c r="E11" s="46">
        <v>0.95</v>
      </c>
      <c r="F11" s="98" t="s">
        <v>19</v>
      </c>
      <c r="G11" s="46">
        <v>67</v>
      </c>
      <c r="H11" s="48" t="s">
        <v>98</v>
      </c>
      <c r="I11" s="46" t="s">
        <v>20</v>
      </c>
      <c r="J11" s="306" t="s">
        <v>60</v>
      </c>
      <c r="K11" s="309"/>
      <c r="L11" s="116" t="s">
        <v>542</v>
      </c>
      <c r="M11" s="116" t="s">
        <v>513</v>
      </c>
      <c r="N11" s="307" t="s">
        <v>24</v>
      </c>
      <c r="O11" s="308" t="s">
        <v>280</v>
      </c>
      <c r="P11" s="116" t="s">
        <v>288</v>
      </c>
      <c r="S11" s="216"/>
      <c r="T11" s="216">
        <v>4360</v>
      </c>
      <c r="U11" s="216">
        <v>5670</v>
      </c>
      <c r="V11" s="216">
        <v>6235</v>
      </c>
      <c r="W11" s="216"/>
      <c r="X11" s="216"/>
      <c r="Y11" s="216"/>
      <c r="Z11" s="216">
        <v>1011</v>
      </c>
      <c r="AB11" s="214"/>
    </row>
    <row r="12" spans="1:28" s="50" customFormat="1" ht="13.8">
      <c r="A12" s="45" t="s">
        <v>111</v>
      </c>
      <c r="B12" s="46">
        <v>96</v>
      </c>
      <c r="C12" s="46">
        <f t="shared" si="0"/>
        <v>13440</v>
      </c>
      <c r="D12" s="47" t="s">
        <v>25</v>
      </c>
      <c r="E12" s="46">
        <v>0.95</v>
      </c>
      <c r="F12" s="46" t="s">
        <v>19</v>
      </c>
      <c r="G12" s="46">
        <v>67</v>
      </c>
      <c r="H12" s="48" t="s">
        <v>98</v>
      </c>
      <c r="I12" s="46" t="s">
        <v>20</v>
      </c>
      <c r="J12" s="116" t="s">
        <v>56</v>
      </c>
      <c r="K12" s="309"/>
      <c r="L12" s="116" t="s">
        <v>542</v>
      </c>
      <c r="M12" s="116" t="s">
        <v>513</v>
      </c>
      <c r="N12" s="307" t="s">
        <v>24</v>
      </c>
      <c r="O12" s="308" t="s">
        <v>280</v>
      </c>
      <c r="P12" s="116" t="s">
        <v>288</v>
      </c>
      <c r="S12" s="216"/>
      <c r="T12" s="216">
        <v>4360</v>
      </c>
      <c r="U12" s="216">
        <v>5670</v>
      </c>
      <c r="V12" s="216">
        <v>6235</v>
      </c>
      <c r="W12" s="216"/>
      <c r="X12" s="216"/>
      <c r="Y12" s="216"/>
      <c r="Z12" s="216">
        <v>1012</v>
      </c>
      <c r="AB12" s="214"/>
    </row>
    <row r="13" spans="1:28" s="50" customFormat="1" ht="13.8">
      <c r="A13" s="45" t="s">
        <v>112</v>
      </c>
      <c r="B13" s="46">
        <v>62</v>
      </c>
      <c r="C13" s="46">
        <f t="shared" si="0"/>
        <v>8680</v>
      </c>
      <c r="D13" s="47" t="s">
        <v>25</v>
      </c>
      <c r="E13" s="46">
        <v>0.95</v>
      </c>
      <c r="F13" s="46" t="s">
        <v>8</v>
      </c>
      <c r="G13" s="46">
        <v>67</v>
      </c>
      <c r="H13" s="48" t="s">
        <v>98</v>
      </c>
      <c r="I13" s="46" t="s">
        <v>20</v>
      </c>
      <c r="J13" s="306" t="s">
        <v>41</v>
      </c>
      <c r="K13" s="307"/>
      <c r="L13" s="116" t="s">
        <v>542</v>
      </c>
      <c r="M13" s="116" t="s">
        <v>513</v>
      </c>
      <c r="N13" s="307" t="s">
        <v>24</v>
      </c>
      <c r="O13" s="308" t="s">
        <v>280</v>
      </c>
      <c r="P13" s="116" t="s">
        <v>288</v>
      </c>
      <c r="S13" s="215"/>
      <c r="T13" s="215">
        <v>2460</v>
      </c>
      <c r="U13" s="215">
        <v>3200</v>
      </c>
      <c r="V13" s="215">
        <v>3520</v>
      </c>
      <c r="W13" s="333"/>
      <c r="X13" s="333"/>
      <c r="Y13" s="333"/>
      <c r="Z13" s="215">
        <v>1013</v>
      </c>
      <c r="AB13" s="214"/>
    </row>
    <row r="14" spans="1:28" s="50" customFormat="1" ht="13.8">
      <c r="A14" s="45" t="s">
        <v>113</v>
      </c>
      <c r="B14" s="46">
        <v>62</v>
      </c>
      <c r="C14" s="46">
        <f t="shared" si="0"/>
        <v>8680</v>
      </c>
      <c r="D14" s="47" t="s">
        <v>25</v>
      </c>
      <c r="E14" s="46">
        <v>0.95</v>
      </c>
      <c r="F14" s="46" t="s">
        <v>8</v>
      </c>
      <c r="G14" s="46">
        <v>67</v>
      </c>
      <c r="H14" s="48" t="s">
        <v>98</v>
      </c>
      <c r="I14" s="46" t="s">
        <v>20</v>
      </c>
      <c r="J14" s="306" t="s">
        <v>45</v>
      </c>
      <c r="K14" s="307"/>
      <c r="L14" s="116" t="s">
        <v>542</v>
      </c>
      <c r="M14" s="116" t="s">
        <v>513</v>
      </c>
      <c r="N14" s="307" t="s">
        <v>24</v>
      </c>
      <c r="O14" s="308" t="s">
        <v>280</v>
      </c>
      <c r="P14" s="116" t="s">
        <v>288</v>
      </c>
      <c r="S14" s="215"/>
      <c r="T14" s="215">
        <v>2460</v>
      </c>
      <c r="U14" s="215">
        <v>3200</v>
      </c>
      <c r="V14" s="215">
        <v>3520</v>
      </c>
      <c r="W14" s="333"/>
      <c r="X14" s="333"/>
      <c r="Y14" s="333"/>
      <c r="Z14" s="215">
        <v>1014</v>
      </c>
      <c r="AB14" s="214"/>
    </row>
    <row r="15" spans="1:28" s="50" customFormat="1" ht="13.8">
      <c r="A15" s="45" t="s">
        <v>114</v>
      </c>
      <c r="B15" s="46">
        <v>124</v>
      </c>
      <c r="C15" s="46">
        <f t="shared" si="0"/>
        <v>17360</v>
      </c>
      <c r="D15" s="47" t="s">
        <v>25</v>
      </c>
      <c r="E15" s="46">
        <v>0.95</v>
      </c>
      <c r="F15" s="46" t="s">
        <v>8</v>
      </c>
      <c r="G15" s="46">
        <v>67</v>
      </c>
      <c r="H15" s="48" t="s">
        <v>98</v>
      </c>
      <c r="I15" s="46" t="s">
        <v>20</v>
      </c>
      <c r="J15" s="306" t="s">
        <v>49</v>
      </c>
      <c r="K15" s="309"/>
      <c r="L15" s="116" t="s">
        <v>542</v>
      </c>
      <c r="M15" s="116" t="s">
        <v>513</v>
      </c>
      <c r="N15" s="307" t="s">
        <v>24</v>
      </c>
      <c r="O15" s="308" t="s">
        <v>280</v>
      </c>
      <c r="P15" s="116" t="s">
        <v>288</v>
      </c>
      <c r="S15" s="216"/>
      <c r="T15" s="216">
        <v>4930</v>
      </c>
      <c r="U15" s="216">
        <v>6410</v>
      </c>
      <c r="V15" s="216">
        <v>7050</v>
      </c>
      <c r="W15" s="216"/>
      <c r="X15" s="216"/>
      <c r="Y15" s="216"/>
      <c r="Z15" s="216">
        <v>1015</v>
      </c>
      <c r="AB15" s="214"/>
    </row>
    <row r="16" spans="1:28" s="50" customFormat="1" ht="13.8">
      <c r="A16" s="45" t="s">
        <v>115</v>
      </c>
      <c r="B16" s="46">
        <v>124</v>
      </c>
      <c r="C16" s="46">
        <f t="shared" si="0"/>
        <v>17360</v>
      </c>
      <c r="D16" s="47" t="s">
        <v>25</v>
      </c>
      <c r="E16" s="46">
        <v>0.95</v>
      </c>
      <c r="F16" s="46" t="s">
        <v>8</v>
      </c>
      <c r="G16" s="46">
        <v>67</v>
      </c>
      <c r="H16" s="48" t="s">
        <v>98</v>
      </c>
      <c r="I16" s="46" t="s">
        <v>20</v>
      </c>
      <c r="J16" s="306" t="s">
        <v>53</v>
      </c>
      <c r="K16" s="309"/>
      <c r="L16" s="116" t="s">
        <v>542</v>
      </c>
      <c r="M16" s="116" t="s">
        <v>513</v>
      </c>
      <c r="N16" s="307" t="s">
        <v>24</v>
      </c>
      <c r="O16" s="308" t="s">
        <v>280</v>
      </c>
      <c r="P16" s="116" t="s">
        <v>288</v>
      </c>
      <c r="S16" s="216"/>
      <c r="T16" s="216">
        <v>4930</v>
      </c>
      <c r="U16" s="216">
        <v>6410</v>
      </c>
      <c r="V16" s="216">
        <v>7050</v>
      </c>
      <c r="W16" s="216"/>
      <c r="X16" s="216"/>
      <c r="Y16" s="216"/>
      <c r="Z16" s="216">
        <v>1016</v>
      </c>
      <c r="AB16" s="214"/>
    </row>
    <row r="17" spans="1:28" s="50" customFormat="1" ht="13.8">
      <c r="A17" s="45" t="s">
        <v>116</v>
      </c>
      <c r="B17" s="46">
        <v>124</v>
      </c>
      <c r="C17" s="46">
        <f t="shared" si="0"/>
        <v>17360</v>
      </c>
      <c r="D17" s="47" t="s">
        <v>25</v>
      </c>
      <c r="E17" s="46">
        <v>0.95</v>
      </c>
      <c r="F17" s="46" t="s">
        <v>19</v>
      </c>
      <c r="G17" s="46">
        <v>67</v>
      </c>
      <c r="H17" s="48" t="s">
        <v>98</v>
      </c>
      <c r="I17" s="46" t="s">
        <v>20</v>
      </c>
      <c r="J17" s="306" t="s">
        <v>61</v>
      </c>
      <c r="K17" s="309"/>
      <c r="L17" s="116" t="s">
        <v>542</v>
      </c>
      <c r="M17" s="116" t="s">
        <v>513</v>
      </c>
      <c r="N17" s="307" t="s">
        <v>24</v>
      </c>
      <c r="O17" s="308" t="s">
        <v>280</v>
      </c>
      <c r="P17" s="116" t="s">
        <v>288</v>
      </c>
      <c r="S17" s="216"/>
      <c r="T17" s="216">
        <v>4930</v>
      </c>
      <c r="U17" s="216">
        <v>6410</v>
      </c>
      <c r="V17" s="216">
        <v>7050</v>
      </c>
      <c r="W17" s="216"/>
      <c r="X17" s="216"/>
      <c r="Y17" s="216"/>
      <c r="Z17" s="216">
        <v>1017</v>
      </c>
      <c r="AB17" s="214"/>
    </row>
    <row r="18" spans="1:28" s="50" customFormat="1" ht="13.8">
      <c r="A18" s="45" t="s">
        <v>117</v>
      </c>
      <c r="B18" s="46">
        <v>124</v>
      </c>
      <c r="C18" s="46">
        <f t="shared" si="0"/>
        <v>17360</v>
      </c>
      <c r="D18" s="47" t="s">
        <v>25</v>
      </c>
      <c r="E18" s="46">
        <v>0.95</v>
      </c>
      <c r="F18" s="46" t="s">
        <v>19</v>
      </c>
      <c r="G18" s="46">
        <v>67</v>
      </c>
      <c r="H18" s="48" t="s">
        <v>98</v>
      </c>
      <c r="I18" s="46" t="s">
        <v>20</v>
      </c>
      <c r="J18" s="116" t="s">
        <v>57</v>
      </c>
      <c r="K18" s="309"/>
      <c r="L18" s="116" t="s">
        <v>542</v>
      </c>
      <c r="M18" s="116" t="s">
        <v>513</v>
      </c>
      <c r="N18" s="307" t="s">
        <v>24</v>
      </c>
      <c r="O18" s="308" t="s">
        <v>280</v>
      </c>
      <c r="P18" s="116" t="s">
        <v>288</v>
      </c>
      <c r="S18" s="216"/>
      <c r="T18" s="216">
        <v>4930</v>
      </c>
      <c r="U18" s="216">
        <v>6410</v>
      </c>
      <c r="V18" s="216">
        <v>7050</v>
      </c>
      <c r="W18" s="216"/>
      <c r="X18" s="216"/>
      <c r="Y18" s="216"/>
      <c r="Z18" s="216">
        <v>1018</v>
      </c>
      <c r="AB18" s="214"/>
    </row>
    <row r="19" spans="1:28" s="50" customFormat="1" ht="13.8">
      <c r="A19" s="45" t="s">
        <v>315</v>
      </c>
      <c r="B19" s="46">
        <v>80</v>
      </c>
      <c r="C19" s="46">
        <f t="shared" si="0"/>
        <v>11200</v>
      </c>
      <c r="D19" s="47" t="s">
        <v>25</v>
      </c>
      <c r="E19" s="46">
        <v>0.95</v>
      </c>
      <c r="F19" s="46" t="s">
        <v>8</v>
      </c>
      <c r="G19" s="46">
        <v>67</v>
      </c>
      <c r="H19" s="48" t="s">
        <v>98</v>
      </c>
      <c r="I19" s="46" t="s">
        <v>20</v>
      </c>
      <c r="J19" s="306" t="s">
        <v>376</v>
      </c>
      <c r="K19" s="309"/>
      <c r="L19" s="116" t="s">
        <v>542</v>
      </c>
      <c r="M19" s="116" t="s">
        <v>513</v>
      </c>
      <c r="N19" s="307" t="s">
        <v>24</v>
      </c>
      <c r="O19" s="308" t="s">
        <v>280</v>
      </c>
      <c r="P19" s="116" t="s">
        <v>288</v>
      </c>
      <c r="S19" s="215"/>
      <c r="T19" s="215">
        <v>3465</v>
      </c>
      <c r="U19" s="215">
        <v>4505</v>
      </c>
      <c r="V19" s="215">
        <v>4955</v>
      </c>
      <c r="W19" s="333"/>
      <c r="X19" s="333"/>
      <c r="Y19" s="333"/>
      <c r="Z19" s="215">
        <v>1019</v>
      </c>
      <c r="AB19" s="214"/>
    </row>
    <row r="20" spans="1:28" s="50" customFormat="1" ht="13.8">
      <c r="A20" s="45" t="s">
        <v>317</v>
      </c>
      <c r="B20" s="46">
        <v>80</v>
      </c>
      <c r="C20" s="46">
        <f t="shared" ref="C20:C21" si="1">B20*140</f>
        <v>11200</v>
      </c>
      <c r="D20" s="47" t="s">
        <v>25</v>
      </c>
      <c r="E20" s="46">
        <v>0.95</v>
      </c>
      <c r="F20" s="46" t="s">
        <v>8</v>
      </c>
      <c r="G20" s="46">
        <v>67</v>
      </c>
      <c r="H20" s="48" t="s">
        <v>98</v>
      </c>
      <c r="I20" s="46" t="s">
        <v>20</v>
      </c>
      <c r="J20" s="306" t="s">
        <v>377</v>
      </c>
      <c r="K20" s="309"/>
      <c r="L20" s="116" t="s">
        <v>542</v>
      </c>
      <c r="M20" s="116" t="s">
        <v>513</v>
      </c>
      <c r="N20" s="307" t="s">
        <v>24</v>
      </c>
      <c r="O20" s="308" t="s">
        <v>280</v>
      </c>
      <c r="P20" s="116" t="s">
        <v>288</v>
      </c>
      <c r="S20" s="215"/>
      <c r="T20" s="215">
        <v>3465</v>
      </c>
      <c r="U20" s="215">
        <v>4505</v>
      </c>
      <c r="V20" s="215">
        <v>4955</v>
      </c>
      <c r="W20" s="333"/>
      <c r="X20" s="333"/>
      <c r="Y20" s="333"/>
      <c r="Z20" s="215">
        <v>1020</v>
      </c>
      <c r="AB20" s="214"/>
    </row>
    <row r="21" spans="1:28" s="50" customFormat="1" ht="13.8">
      <c r="A21" s="45" t="s">
        <v>319</v>
      </c>
      <c r="B21" s="46">
        <v>160</v>
      </c>
      <c r="C21" s="46">
        <f t="shared" si="1"/>
        <v>22400</v>
      </c>
      <c r="D21" s="47" t="s">
        <v>25</v>
      </c>
      <c r="E21" s="46">
        <v>0.95</v>
      </c>
      <c r="F21" s="46" t="s">
        <v>8</v>
      </c>
      <c r="G21" s="46">
        <v>67</v>
      </c>
      <c r="H21" s="48" t="s">
        <v>98</v>
      </c>
      <c r="I21" s="46" t="s">
        <v>20</v>
      </c>
      <c r="J21" s="306" t="s">
        <v>378</v>
      </c>
      <c r="K21" s="309"/>
      <c r="L21" s="116" t="s">
        <v>542</v>
      </c>
      <c r="M21" s="116" t="s">
        <v>513</v>
      </c>
      <c r="N21" s="307" t="s">
        <v>24</v>
      </c>
      <c r="O21" s="308" t="s">
        <v>280</v>
      </c>
      <c r="P21" s="116" t="s">
        <v>288</v>
      </c>
      <c r="S21" s="216"/>
      <c r="T21" s="216">
        <v>6925</v>
      </c>
      <c r="U21" s="216">
        <v>9005</v>
      </c>
      <c r="V21" s="216">
        <v>9905</v>
      </c>
      <c r="W21" s="216"/>
      <c r="X21" s="216"/>
      <c r="Y21" s="216"/>
      <c r="Z21" s="216">
        <v>1021</v>
      </c>
      <c r="AB21" s="214"/>
    </row>
    <row r="22" spans="1:28" s="50" customFormat="1" ht="13.8">
      <c r="A22" s="45" t="s">
        <v>320</v>
      </c>
      <c r="B22" s="46">
        <v>160</v>
      </c>
      <c r="C22" s="46">
        <f t="shared" ref="C22:C25" si="2">B22*140</f>
        <v>22400</v>
      </c>
      <c r="D22" s="47" t="s">
        <v>25</v>
      </c>
      <c r="E22" s="46">
        <v>0.95</v>
      </c>
      <c r="F22" s="46" t="s">
        <v>8</v>
      </c>
      <c r="G22" s="46">
        <v>67</v>
      </c>
      <c r="H22" s="48" t="s">
        <v>98</v>
      </c>
      <c r="I22" s="46" t="s">
        <v>20</v>
      </c>
      <c r="J22" s="306" t="s">
        <v>379</v>
      </c>
      <c r="K22" s="309"/>
      <c r="L22" s="116" t="s">
        <v>542</v>
      </c>
      <c r="M22" s="116" t="s">
        <v>513</v>
      </c>
      <c r="N22" s="307" t="s">
        <v>24</v>
      </c>
      <c r="O22" s="308" t="s">
        <v>280</v>
      </c>
      <c r="P22" s="116" t="s">
        <v>288</v>
      </c>
      <c r="S22" s="216"/>
      <c r="T22" s="216">
        <v>6925</v>
      </c>
      <c r="U22" s="216">
        <v>9005</v>
      </c>
      <c r="V22" s="216">
        <v>9905</v>
      </c>
      <c r="W22" s="216"/>
      <c r="X22" s="216"/>
      <c r="Y22" s="216"/>
      <c r="Z22" s="216">
        <v>1022</v>
      </c>
      <c r="AB22" s="214"/>
    </row>
    <row r="23" spans="1:28" s="50" customFormat="1" ht="13.8">
      <c r="A23" s="45" t="s">
        <v>325</v>
      </c>
      <c r="B23" s="46">
        <v>160</v>
      </c>
      <c r="C23" s="46">
        <f t="shared" si="2"/>
        <v>22400</v>
      </c>
      <c r="D23" s="47" t="s">
        <v>25</v>
      </c>
      <c r="E23" s="46">
        <v>0.95</v>
      </c>
      <c r="F23" s="46" t="s">
        <v>19</v>
      </c>
      <c r="G23" s="46">
        <v>67</v>
      </c>
      <c r="H23" s="48" t="s">
        <v>98</v>
      </c>
      <c r="I23" s="46" t="s">
        <v>20</v>
      </c>
      <c r="J23" s="306" t="s">
        <v>380</v>
      </c>
      <c r="K23" s="309"/>
      <c r="L23" s="116" t="s">
        <v>542</v>
      </c>
      <c r="M23" s="116" t="s">
        <v>513</v>
      </c>
      <c r="N23" s="307" t="s">
        <v>24</v>
      </c>
      <c r="O23" s="308" t="s">
        <v>280</v>
      </c>
      <c r="P23" s="116" t="s">
        <v>288</v>
      </c>
      <c r="S23" s="216"/>
      <c r="T23" s="216">
        <v>6925</v>
      </c>
      <c r="U23" s="216">
        <v>9005</v>
      </c>
      <c r="V23" s="216">
        <v>9905</v>
      </c>
      <c r="W23" s="216"/>
      <c r="X23" s="216"/>
      <c r="Y23" s="216"/>
      <c r="Z23" s="216">
        <v>1023</v>
      </c>
      <c r="AB23" s="214"/>
    </row>
    <row r="24" spans="1:28" s="50" customFormat="1" ht="13.8">
      <c r="A24" s="45" t="s">
        <v>326</v>
      </c>
      <c r="B24" s="46">
        <v>160</v>
      </c>
      <c r="C24" s="46">
        <f t="shared" ref="C24" si="3">B24*140</f>
        <v>22400</v>
      </c>
      <c r="D24" s="47" t="s">
        <v>25</v>
      </c>
      <c r="E24" s="46">
        <v>0.95</v>
      </c>
      <c r="F24" s="46" t="s">
        <v>19</v>
      </c>
      <c r="G24" s="46">
        <v>67</v>
      </c>
      <c r="H24" s="48" t="s">
        <v>98</v>
      </c>
      <c r="I24" s="46" t="s">
        <v>20</v>
      </c>
      <c r="J24" s="306" t="s">
        <v>381</v>
      </c>
      <c r="K24" s="309"/>
      <c r="L24" s="116" t="s">
        <v>542</v>
      </c>
      <c r="M24" s="116" t="s">
        <v>513</v>
      </c>
      <c r="N24" s="307" t="s">
        <v>24</v>
      </c>
      <c r="O24" s="308" t="s">
        <v>280</v>
      </c>
      <c r="P24" s="116" t="s">
        <v>288</v>
      </c>
      <c r="S24" s="216"/>
      <c r="T24" s="216">
        <v>6925</v>
      </c>
      <c r="U24" s="216">
        <v>9005</v>
      </c>
      <c r="V24" s="216">
        <v>9905</v>
      </c>
      <c r="W24" s="216"/>
      <c r="X24" s="216"/>
      <c r="Y24" s="216"/>
      <c r="Z24" s="216">
        <v>1024</v>
      </c>
      <c r="AB24" s="214"/>
    </row>
    <row r="25" spans="1:28" s="50" customFormat="1" ht="13.8">
      <c r="A25" s="45" t="s">
        <v>321</v>
      </c>
      <c r="B25" s="46">
        <v>240</v>
      </c>
      <c r="C25" s="46">
        <f t="shared" si="2"/>
        <v>33600</v>
      </c>
      <c r="D25" s="47" t="s">
        <v>25</v>
      </c>
      <c r="E25" s="46">
        <v>0.95</v>
      </c>
      <c r="F25" s="46" t="s">
        <v>8</v>
      </c>
      <c r="G25" s="46">
        <v>67</v>
      </c>
      <c r="H25" s="48" t="s">
        <v>98</v>
      </c>
      <c r="I25" s="46" t="s">
        <v>20</v>
      </c>
      <c r="J25" s="306" t="s">
        <v>382</v>
      </c>
      <c r="K25" s="309"/>
      <c r="L25" s="116" t="s">
        <v>542</v>
      </c>
      <c r="M25" s="116" t="s">
        <v>513</v>
      </c>
      <c r="N25" s="307" t="s">
        <v>24</v>
      </c>
      <c r="O25" s="308" t="s">
        <v>280</v>
      </c>
      <c r="P25" s="116" t="s">
        <v>288</v>
      </c>
      <c r="S25" s="216"/>
      <c r="T25" s="216">
        <v>10390</v>
      </c>
      <c r="U25" s="216">
        <v>13505</v>
      </c>
      <c r="V25" s="216">
        <v>14855</v>
      </c>
      <c r="W25" s="216"/>
      <c r="X25" s="216"/>
      <c r="Y25" s="216"/>
      <c r="Z25" s="216">
        <v>1025</v>
      </c>
      <c r="AB25" s="214"/>
    </row>
    <row r="26" spans="1:28" s="50" customFormat="1" ht="13.8">
      <c r="A26" s="45" t="s">
        <v>322</v>
      </c>
      <c r="B26" s="46">
        <v>240</v>
      </c>
      <c r="C26" s="46">
        <f t="shared" ref="C26:C27" si="4">B26*140</f>
        <v>33600</v>
      </c>
      <c r="D26" s="47" t="s">
        <v>25</v>
      </c>
      <c r="E26" s="46">
        <v>0.95</v>
      </c>
      <c r="F26" s="46" t="s">
        <v>8</v>
      </c>
      <c r="G26" s="46">
        <v>67</v>
      </c>
      <c r="H26" s="48" t="s">
        <v>98</v>
      </c>
      <c r="I26" s="46" t="s">
        <v>20</v>
      </c>
      <c r="J26" s="306" t="s">
        <v>383</v>
      </c>
      <c r="K26" s="309"/>
      <c r="L26" s="116" t="s">
        <v>542</v>
      </c>
      <c r="M26" s="116" t="s">
        <v>513</v>
      </c>
      <c r="N26" s="307" t="s">
        <v>24</v>
      </c>
      <c r="O26" s="308" t="s">
        <v>280</v>
      </c>
      <c r="P26" s="116" t="s">
        <v>288</v>
      </c>
      <c r="S26" s="216"/>
      <c r="T26" s="216">
        <v>10390</v>
      </c>
      <c r="U26" s="216">
        <v>13505</v>
      </c>
      <c r="V26" s="216">
        <v>14855</v>
      </c>
      <c r="W26" s="216"/>
      <c r="X26" s="216"/>
      <c r="Y26" s="216"/>
      <c r="Z26" s="216">
        <v>1026</v>
      </c>
      <c r="AB26" s="214"/>
    </row>
    <row r="27" spans="1:28" s="50" customFormat="1" ht="13.8">
      <c r="A27" s="45" t="s">
        <v>323</v>
      </c>
      <c r="B27" s="46">
        <v>240</v>
      </c>
      <c r="C27" s="46">
        <f t="shared" si="4"/>
        <v>33600</v>
      </c>
      <c r="D27" s="47" t="s">
        <v>25</v>
      </c>
      <c r="E27" s="46">
        <v>0.95</v>
      </c>
      <c r="F27" s="46" t="s">
        <v>19</v>
      </c>
      <c r="G27" s="46">
        <v>67</v>
      </c>
      <c r="H27" s="48" t="s">
        <v>98</v>
      </c>
      <c r="I27" s="46" t="s">
        <v>20</v>
      </c>
      <c r="J27" s="306" t="s">
        <v>384</v>
      </c>
      <c r="K27" s="309"/>
      <c r="L27" s="116" t="s">
        <v>542</v>
      </c>
      <c r="M27" s="116" t="s">
        <v>513</v>
      </c>
      <c r="N27" s="307" t="s">
        <v>24</v>
      </c>
      <c r="O27" s="308" t="s">
        <v>280</v>
      </c>
      <c r="P27" s="116" t="s">
        <v>288</v>
      </c>
      <c r="S27" s="216"/>
      <c r="T27" s="216">
        <v>10390</v>
      </c>
      <c r="U27" s="216">
        <v>13505</v>
      </c>
      <c r="V27" s="216">
        <v>14855</v>
      </c>
      <c r="W27" s="216"/>
      <c r="X27" s="216"/>
      <c r="Y27" s="216"/>
      <c r="Z27" s="216">
        <v>1027</v>
      </c>
      <c r="AB27" s="214"/>
    </row>
    <row r="28" spans="1:28" s="50" customFormat="1" ht="13.8">
      <c r="A28" s="45" t="s">
        <v>324</v>
      </c>
      <c r="B28" s="46">
        <v>240</v>
      </c>
      <c r="C28" s="46">
        <f t="shared" ref="C28" si="5">B28*140</f>
        <v>33600</v>
      </c>
      <c r="D28" s="47" t="s">
        <v>25</v>
      </c>
      <c r="E28" s="46">
        <v>0.95</v>
      </c>
      <c r="F28" s="46" t="s">
        <v>19</v>
      </c>
      <c r="G28" s="46">
        <v>67</v>
      </c>
      <c r="H28" s="48" t="s">
        <v>98</v>
      </c>
      <c r="I28" s="46" t="s">
        <v>20</v>
      </c>
      <c r="J28" s="306" t="s">
        <v>385</v>
      </c>
      <c r="K28" s="309"/>
      <c r="L28" s="116" t="s">
        <v>542</v>
      </c>
      <c r="M28" s="116" t="s">
        <v>513</v>
      </c>
      <c r="N28" s="307" t="s">
        <v>24</v>
      </c>
      <c r="O28" s="308" t="s">
        <v>280</v>
      </c>
      <c r="P28" s="116" t="s">
        <v>288</v>
      </c>
      <c r="S28" s="216"/>
      <c r="T28" s="216">
        <v>10390</v>
      </c>
      <c r="U28" s="216">
        <v>13505</v>
      </c>
      <c r="V28" s="216">
        <v>14855</v>
      </c>
      <c r="W28" s="216"/>
      <c r="X28" s="216"/>
      <c r="Y28" s="216"/>
      <c r="Z28" s="216">
        <v>1028</v>
      </c>
      <c r="AB28" s="214"/>
    </row>
    <row r="29" spans="1:28" s="50" customFormat="1" ht="13.8">
      <c r="A29" s="45" t="s">
        <v>118</v>
      </c>
      <c r="B29" s="46">
        <v>96</v>
      </c>
      <c r="C29" s="46">
        <f t="shared" si="0"/>
        <v>13440</v>
      </c>
      <c r="D29" s="47" t="s">
        <v>25</v>
      </c>
      <c r="E29" s="46">
        <v>0.95</v>
      </c>
      <c r="F29" s="46" t="s">
        <v>8</v>
      </c>
      <c r="G29" s="46">
        <v>67</v>
      </c>
      <c r="H29" s="48" t="s">
        <v>98</v>
      </c>
      <c r="I29" s="46" t="s">
        <v>20</v>
      </c>
      <c r="J29" s="306" t="s">
        <v>42</v>
      </c>
      <c r="K29" s="307"/>
      <c r="L29" s="116" t="s">
        <v>542</v>
      </c>
      <c r="M29" s="116" t="s">
        <v>513</v>
      </c>
      <c r="N29" s="307" t="s">
        <v>24</v>
      </c>
      <c r="O29" s="308" t="s">
        <v>280</v>
      </c>
      <c r="P29" s="116" t="s">
        <v>288</v>
      </c>
      <c r="S29" s="215"/>
      <c r="T29" s="215">
        <v>3645</v>
      </c>
      <c r="U29" s="215">
        <v>4740</v>
      </c>
      <c r="V29" s="215">
        <v>5215</v>
      </c>
      <c r="W29" s="333"/>
      <c r="X29" s="333"/>
      <c r="Y29" s="333"/>
      <c r="Z29" s="215">
        <v>1029</v>
      </c>
      <c r="AB29" s="214"/>
    </row>
    <row r="30" spans="1:28" s="50" customFormat="1" ht="13.8">
      <c r="A30" s="45" t="s">
        <v>119</v>
      </c>
      <c r="B30" s="46">
        <v>96</v>
      </c>
      <c r="C30" s="46">
        <f t="shared" si="0"/>
        <v>13440</v>
      </c>
      <c r="D30" s="47" t="s">
        <v>25</v>
      </c>
      <c r="E30" s="46">
        <v>0.95</v>
      </c>
      <c r="F30" s="46" t="s">
        <v>8</v>
      </c>
      <c r="G30" s="46">
        <v>67</v>
      </c>
      <c r="H30" s="48" t="s">
        <v>98</v>
      </c>
      <c r="I30" s="46" t="s">
        <v>20</v>
      </c>
      <c r="J30" s="306" t="s">
        <v>46</v>
      </c>
      <c r="K30" s="307"/>
      <c r="L30" s="116" t="s">
        <v>542</v>
      </c>
      <c r="M30" s="116" t="s">
        <v>513</v>
      </c>
      <c r="N30" s="307" t="s">
        <v>24</v>
      </c>
      <c r="O30" s="308" t="s">
        <v>280</v>
      </c>
      <c r="P30" s="116" t="s">
        <v>288</v>
      </c>
      <c r="S30" s="215"/>
      <c r="T30" s="215">
        <v>3645</v>
      </c>
      <c r="U30" s="215">
        <v>4740</v>
      </c>
      <c r="V30" s="215">
        <v>5215</v>
      </c>
      <c r="W30" s="333"/>
      <c r="X30" s="333"/>
      <c r="Y30" s="333"/>
      <c r="Z30" s="215">
        <v>1030</v>
      </c>
      <c r="AB30" s="214"/>
    </row>
    <row r="31" spans="1:28" s="50" customFormat="1" ht="13.8">
      <c r="A31" s="45" t="s">
        <v>120</v>
      </c>
      <c r="B31" s="46">
        <v>192</v>
      </c>
      <c r="C31" s="46">
        <f t="shared" si="0"/>
        <v>26880</v>
      </c>
      <c r="D31" s="47" t="s">
        <v>25</v>
      </c>
      <c r="E31" s="46">
        <v>0.95</v>
      </c>
      <c r="F31" s="46" t="s">
        <v>8</v>
      </c>
      <c r="G31" s="46">
        <v>67</v>
      </c>
      <c r="H31" s="48" t="s">
        <v>98</v>
      </c>
      <c r="I31" s="46" t="s">
        <v>20</v>
      </c>
      <c r="J31" s="306" t="s">
        <v>50</v>
      </c>
      <c r="K31" s="309"/>
      <c r="L31" s="116" t="s">
        <v>542</v>
      </c>
      <c r="M31" s="116" t="s">
        <v>513</v>
      </c>
      <c r="N31" s="307" t="s">
        <v>24</v>
      </c>
      <c r="O31" s="308" t="s">
        <v>280</v>
      </c>
      <c r="P31" s="116" t="s">
        <v>288</v>
      </c>
      <c r="S31" s="216"/>
      <c r="T31" s="216">
        <v>7290</v>
      </c>
      <c r="U31" s="216">
        <v>9475</v>
      </c>
      <c r="V31" s="216">
        <v>10425</v>
      </c>
      <c r="W31" s="216"/>
      <c r="X31" s="216"/>
      <c r="Y31" s="216"/>
      <c r="Z31" s="216">
        <v>1031</v>
      </c>
      <c r="AB31" s="214"/>
    </row>
    <row r="32" spans="1:28" s="50" customFormat="1" ht="13.8">
      <c r="A32" s="45" t="s">
        <v>121</v>
      </c>
      <c r="B32" s="46">
        <v>192</v>
      </c>
      <c r="C32" s="46">
        <f t="shared" si="0"/>
        <v>26880</v>
      </c>
      <c r="D32" s="47" t="s">
        <v>25</v>
      </c>
      <c r="E32" s="46">
        <v>0.95</v>
      </c>
      <c r="F32" s="46" t="s">
        <v>8</v>
      </c>
      <c r="G32" s="46">
        <v>67</v>
      </c>
      <c r="H32" s="48" t="s">
        <v>98</v>
      </c>
      <c r="I32" s="46" t="s">
        <v>20</v>
      </c>
      <c r="J32" s="306" t="s">
        <v>54</v>
      </c>
      <c r="K32" s="309"/>
      <c r="L32" s="116" t="s">
        <v>542</v>
      </c>
      <c r="M32" s="116" t="s">
        <v>513</v>
      </c>
      <c r="N32" s="307" t="s">
        <v>24</v>
      </c>
      <c r="O32" s="308" t="s">
        <v>280</v>
      </c>
      <c r="P32" s="116" t="s">
        <v>288</v>
      </c>
      <c r="S32" s="216"/>
      <c r="T32" s="216">
        <v>7290</v>
      </c>
      <c r="U32" s="216">
        <v>9475</v>
      </c>
      <c r="V32" s="216">
        <v>10425</v>
      </c>
      <c r="W32" s="216"/>
      <c r="X32" s="216"/>
      <c r="Y32" s="216"/>
      <c r="Z32" s="216">
        <v>1032</v>
      </c>
      <c r="AB32" s="214"/>
    </row>
    <row r="33" spans="1:28" s="50" customFormat="1" ht="13.8">
      <c r="A33" s="45" t="s">
        <v>122</v>
      </c>
      <c r="B33" s="46">
        <v>192</v>
      </c>
      <c r="C33" s="46">
        <f t="shared" si="0"/>
        <v>26880</v>
      </c>
      <c r="D33" s="47" t="s">
        <v>25</v>
      </c>
      <c r="E33" s="46">
        <v>0.95</v>
      </c>
      <c r="F33" s="46" t="s">
        <v>19</v>
      </c>
      <c r="G33" s="46">
        <v>67</v>
      </c>
      <c r="H33" s="48" t="s">
        <v>98</v>
      </c>
      <c r="I33" s="46" t="s">
        <v>20</v>
      </c>
      <c r="J33" s="306" t="s">
        <v>62</v>
      </c>
      <c r="K33" s="309"/>
      <c r="L33" s="116" t="s">
        <v>542</v>
      </c>
      <c r="M33" s="116" t="s">
        <v>513</v>
      </c>
      <c r="N33" s="307" t="s">
        <v>24</v>
      </c>
      <c r="O33" s="308" t="s">
        <v>280</v>
      </c>
      <c r="P33" s="116" t="s">
        <v>288</v>
      </c>
      <c r="S33" s="216"/>
      <c r="T33" s="216">
        <v>7290</v>
      </c>
      <c r="U33" s="216">
        <v>9475</v>
      </c>
      <c r="V33" s="216">
        <v>10425</v>
      </c>
      <c r="W33" s="216"/>
      <c r="X33" s="216"/>
      <c r="Y33" s="216"/>
      <c r="Z33" s="216">
        <v>1033</v>
      </c>
      <c r="AB33" s="214"/>
    </row>
    <row r="34" spans="1:28" s="50" customFormat="1" ht="13.8">
      <c r="A34" s="45" t="s">
        <v>123</v>
      </c>
      <c r="B34" s="46">
        <v>192</v>
      </c>
      <c r="C34" s="46">
        <f t="shared" si="0"/>
        <v>26880</v>
      </c>
      <c r="D34" s="47" t="s">
        <v>25</v>
      </c>
      <c r="E34" s="46">
        <v>0.95</v>
      </c>
      <c r="F34" s="46" t="s">
        <v>19</v>
      </c>
      <c r="G34" s="46">
        <v>67</v>
      </c>
      <c r="H34" s="48" t="s">
        <v>98</v>
      </c>
      <c r="I34" s="46" t="s">
        <v>20</v>
      </c>
      <c r="J34" s="116" t="s">
        <v>58</v>
      </c>
      <c r="K34" s="309"/>
      <c r="L34" s="116" t="s">
        <v>542</v>
      </c>
      <c r="M34" s="116" t="s">
        <v>513</v>
      </c>
      <c r="N34" s="307" t="s">
        <v>24</v>
      </c>
      <c r="O34" s="308" t="s">
        <v>280</v>
      </c>
      <c r="P34" s="116" t="s">
        <v>288</v>
      </c>
      <c r="S34" s="216"/>
      <c r="T34" s="216">
        <v>7290</v>
      </c>
      <c r="U34" s="216">
        <v>9475</v>
      </c>
      <c r="V34" s="216">
        <v>10425</v>
      </c>
      <c r="W34" s="216"/>
      <c r="X34" s="216"/>
      <c r="Y34" s="216"/>
      <c r="Z34" s="216">
        <v>1034</v>
      </c>
      <c r="AB34" s="214"/>
    </row>
    <row r="35" spans="1:28" s="50" customFormat="1" ht="13.8">
      <c r="A35" s="45" t="s">
        <v>344</v>
      </c>
      <c r="B35" s="46">
        <v>124</v>
      </c>
      <c r="C35" s="46">
        <f t="shared" si="0"/>
        <v>17360</v>
      </c>
      <c r="D35" s="47" t="s">
        <v>25</v>
      </c>
      <c r="E35" s="46">
        <v>0.95</v>
      </c>
      <c r="F35" s="46" t="s">
        <v>8</v>
      </c>
      <c r="G35" s="46">
        <v>67</v>
      </c>
      <c r="H35" s="48" t="s">
        <v>98</v>
      </c>
      <c r="I35" s="46" t="s">
        <v>20</v>
      </c>
      <c r="J35" s="116" t="s">
        <v>316</v>
      </c>
      <c r="K35" s="309"/>
      <c r="L35" s="116" t="s">
        <v>542</v>
      </c>
      <c r="M35" s="116" t="s">
        <v>513</v>
      </c>
      <c r="N35" s="307" t="s">
        <v>24</v>
      </c>
      <c r="O35" s="308" t="s">
        <v>280</v>
      </c>
      <c r="P35" s="116" t="s">
        <v>288</v>
      </c>
      <c r="S35" s="215"/>
      <c r="T35" s="215">
        <v>4840</v>
      </c>
      <c r="U35" s="215">
        <v>6290</v>
      </c>
      <c r="V35" s="215">
        <v>6920</v>
      </c>
      <c r="W35" s="333"/>
      <c r="X35" s="333"/>
      <c r="Y35" s="333"/>
      <c r="Z35" s="215">
        <v>1035</v>
      </c>
      <c r="AB35" s="214"/>
    </row>
    <row r="36" spans="1:28" s="50" customFormat="1" ht="13.8">
      <c r="A36" s="45" t="s">
        <v>343</v>
      </c>
      <c r="B36" s="46">
        <v>124</v>
      </c>
      <c r="C36" s="46">
        <f t="shared" ref="C36:C37" si="6">B36*140</f>
        <v>17360</v>
      </c>
      <c r="D36" s="47" t="s">
        <v>25</v>
      </c>
      <c r="E36" s="46">
        <v>0.95</v>
      </c>
      <c r="F36" s="46" t="s">
        <v>8</v>
      </c>
      <c r="G36" s="46">
        <v>67</v>
      </c>
      <c r="H36" s="48" t="s">
        <v>98</v>
      </c>
      <c r="I36" s="46" t="s">
        <v>20</v>
      </c>
      <c r="J36" s="306" t="s">
        <v>318</v>
      </c>
      <c r="K36" s="309"/>
      <c r="L36" s="116" t="s">
        <v>542</v>
      </c>
      <c r="M36" s="116" t="s">
        <v>513</v>
      </c>
      <c r="N36" s="307" t="s">
        <v>24</v>
      </c>
      <c r="O36" s="308" t="s">
        <v>280</v>
      </c>
      <c r="P36" s="116" t="s">
        <v>288</v>
      </c>
      <c r="S36" s="215"/>
      <c r="T36" s="215">
        <v>4840</v>
      </c>
      <c r="U36" s="215">
        <v>6290</v>
      </c>
      <c r="V36" s="215">
        <v>6920</v>
      </c>
      <c r="W36" s="333"/>
      <c r="X36" s="333"/>
      <c r="Y36" s="333"/>
      <c r="Z36" s="215">
        <v>1036</v>
      </c>
      <c r="AB36" s="214"/>
    </row>
    <row r="37" spans="1:28" s="50" customFormat="1" ht="13.8">
      <c r="A37" s="45" t="s">
        <v>342</v>
      </c>
      <c r="B37" s="46">
        <v>248</v>
      </c>
      <c r="C37" s="46">
        <f t="shared" si="6"/>
        <v>34720</v>
      </c>
      <c r="D37" s="47" t="s">
        <v>25</v>
      </c>
      <c r="E37" s="46">
        <v>0.95</v>
      </c>
      <c r="F37" s="46" t="s">
        <v>8</v>
      </c>
      <c r="G37" s="46">
        <v>67</v>
      </c>
      <c r="H37" s="48" t="s">
        <v>98</v>
      </c>
      <c r="I37" s="46" t="s">
        <v>20</v>
      </c>
      <c r="J37" s="306" t="s">
        <v>327</v>
      </c>
      <c r="K37" s="309"/>
      <c r="L37" s="116" t="s">
        <v>542</v>
      </c>
      <c r="M37" s="116" t="s">
        <v>513</v>
      </c>
      <c r="N37" s="307" t="s">
        <v>24</v>
      </c>
      <c r="O37" s="308" t="s">
        <v>280</v>
      </c>
      <c r="P37" s="116" t="s">
        <v>288</v>
      </c>
      <c r="S37" s="216"/>
      <c r="T37" s="216">
        <v>10265</v>
      </c>
      <c r="U37" s="216">
        <v>13345</v>
      </c>
      <c r="V37" s="216">
        <v>14680</v>
      </c>
      <c r="W37" s="216"/>
      <c r="X37" s="216"/>
      <c r="Y37" s="216"/>
      <c r="Z37" s="216">
        <v>1037</v>
      </c>
      <c r="AB37" s="214"/>
    </row>
    <row r="38" spans="1:28" s="50" customFormat="1" ht="13.8">
      <c r="A38" s="45" t="s">
        <v>341</v>
      </c>
      <c r="B38" s="46">
        <v>248</v>
      </c>
      <c r="C38" s="46">
        <f t="shared" ref="C38:C41" si="7">B38*140</f>
        <v>34720</v>
      </c>
      <c r="D38" s="47" t="s">
        <v>25</v>
      </c>
      <c r="E38" s="46">
        <v>0.95</v>
      </c>
      <c r="F38" s="46" t="s">
        <v>8</v>
      </c>
      <c r="G38" s="46">
        <v>67</v>
      </c>
      <c r="H38" s="48" t="s">
        <v>98</v>
      </c>
      <c r="I38" s="46" t="s">
        <v>20</v>
      </c>
      <c r="J38" s="306" t="s">
        <v>328</v>
      </c>
      <c r="K38" s="309"/>
      <c r="L38" s="116" t="s">
        <v>542</v>
      </c>
      <c r="M38" s="116" t="s">
        <v>513</v>
      </c>
      <c r="N38" s="307" t="s">
        <v>24</v>
      </c>
      <c r="O38" s="308" t="s">
        <v>280</v>
      </c>
      <c r="P38" s="116" t="s">
        <v>288</v>
      </c>
      <c r="S38" s="216"/>
      <c r="T38" s="216">
        <v>10265</v>
      </c>
      <c r="U38" s="216">
        <v>13345</v>
      </c>
      <c r="V38" s="216">
        <v>14680</v>
      </c>
      <c r="W38" s="216"/>
      <c r="X38" s="216"/>
      <c r="Y38" s="216"/>
      <c r="Z38" s="216">
        <v>1038</v>
      </c>
      <c r="AB38" s="214"/>
    </row>
    <row r="39" spans="1:28" s="50" customFormat="1" ht="13.8">
      <c r="A39" s="45" t="s">
        <v>340</v>
      </c>
      <c r="B39" s="46">
        <v>248</v>
      </c>
      <c r="C39" s="46">
        <f t="shared" si="7"/>
        <v>34720</v>
      </c>
      <c r="D39" s="47" t="s">
        <v>25</v>
      </c>
      <c r="E39" s="46">
        <v>0.95</v>
      </c>
      <c r="F39" s="46" t="s">
        <v>19</v>
      </c>
      <c r="G39" s="46">
        <v>67</v>
      </c>
      <c r="H39" s="48" t="s">
        <v>98</v>
      </c>
      <c r="I39" s="46" t="s">
        <v>20</v>
      </c>
      <c r="J39" s="306" t="s">
        <v>329</v>
      </c>
      <c r="K39" s="309"/>
      <c r="L39" s="116" t="s">
        <v>542</v>
      </c>
      <c r="M39" s="116" t="s">
        <v>513</v>
      </c>
      <c r="N39" s="307" t="s">
        <v>24</v>
      </c>
      <c r="O39" s="308" t="s">
        <v>280</v>
      </c>
      <c r="P39" s="116" t="s">
        <v>288</v>
      </c>
      <c r="S39" s="216"/>
      <c r="T39" s="216">
        <v>10265</v>
      </c>
      <c r="U39" s="216">
        <v>13345</v>
      </c>
      <c r="V39" s="216">
        <v>14680</v>
      </c>
      <c r="W39" s="216"/>
      <c r="X39" s="216"/>
      <c r="Y39" s="216"/>
      <c r="Z39" s="216">
        <v>1039</v>
      </c>
      <c r="AB39" s="214"/>
    </row>
    <row r="40" spans="1:28" s="50" customFormat="1" ht="13.8">
      <c r="A40" s="45" t="s">
        <v>339</v>
      </c>
      <c r="B40" s="46">
        <v>248</v>
      </c>
      <c r="C40" s="46">
        <f t="shared" ref="C40" si="8">B40*140</f>
        <v>34720</v>
      </c>
      <c r="D40" s="47" t="s">
        <v>25</v>
      </c>
      <c r="E40" s="46">
        <v>0.95</v>
      </c>
      <c r="F40" s="46" t="s">
        <v>19</v>
      </c>
      <c r="G40" s="46">
        <v>67</v>
      </c>
      <c r="H40" s="48" t="s">
        <v>98</v>
      </c>
      <c r="I40" s="46" t="s">
        <v>20</v>
      </c>
      <c r="J40" s="306" t="s">
        <v>330</v>
      </c>
      <c r="K40" s="309"/>
      <c r="L40" s="116" t="s">
        <v>542</v>
      </c>
      <c r="M40" s="116" t="s">
        <v>513</v>
      </c>
      <c r="N40" s="307" t="s">
        <v>24</v>
      </c>
      <c r="O40" s="308" t="s">
        <v>280</v>
      </c>
      <c r="P40" s="116" t="s">
        <v>288</v>
      </c>
      <c r="S40" s="216"/>
      <c r="T40" s="216">
        <v>10265</v>
      </c>
      <c r="U40" s="216">
        <v>13345</v>
      </c>
      <c r="V40" s="216">
        <v>14680</v>
      </c>
      <c r="W40" s="216"/>
      <c r="X40" s="216"/>
      <c r="Y40" s="216"/>
      <c r="Z40" s="216">
        <v>1040</v>
      </c>
      <c r="AB40" s="214"/>
    </row>
    <row r="41" spans="1:28" s="50" customFormat="1" ht="13.8">
      <c r="A41" s="45" t="s">
        <v>338</v>
      </c>
      <c r="B41" s="46">
        <v>372</v>
      </c>
      <c r="C41" s="46">
        <f t="shared" si="7"/>
        <v>52080</v>
      </c>
      <c r="D41" s="47" t="s">
        <v>25</v>
      </c>
      <c r="E41" s="46">
        <v>0.95</v>
      </c>
      <c r="F41" s="46" t="s">
        <v>8</v>
      </c>
      <c r="G41" s="46">
        <v>67</v>
      </c>
      <c r="H41" s="48" t="s">
        <v>98</v>
      </c>
      <c r="I41" s="46" t="s">
        <v>20</v>
      </c>
      <c r="J41" s="306" t="s">
        <v>331</v>
      </c>
      <c r="K41" s="309"/>
      <c r="L41" s="116" t="s">
        <v>542</v>
      </c>
      <c r="M41" s="116" t="s">
        <v>513</v>
      </c>
      <c r="N41" s="307" t="s">
        <v>24</v>
      </c>
      <c r="O41" s="308" t="s">
        <v>280</v>
      </c>
      <c r="P41" s="116" t="s">
        <v>288</v>
      </c>
      <c r="S41" s="216"/>
      <c r="T41" s="216">
        <v>15390</v>
      </c>
      <c r="U41" s="216">
        <v>20005</v>
      </c>
      <c r="V41" s="216">
        <v>22005</v>
      </c>
      <c r="W41" s="216"/>
      <c r="X41" s="216"/>
      <c r="Y41" s="216"/>
      <c r="Z41" s="216">
        <v>1041</v>
      </c>
      <c r="AB41" s="214"/>
    </row>
    <row r="42" spans="1:28" s="50" customFormat="1" ht="13.8">
      <c r="A42" s="45" t="s">
        <v>337</v>
      </c>
      <c r="B42" s="46">
        <v>372</v>
      </c>
      <c r="C42" s="46">
        <f t="shared" ref="C42:C43" si="9">B42*140</f>
        <v>52080</v>
      </c>
      <c r="D42" s="47" t="s">
        <v>25</v>
      </c>
      <c r="E42" s="46">
        <v>0.95</v>
      </c>
      <c r="F42" s="46" t="s">
        <v>8</v>
      </c>
      <c r="G42" s="46">
        <v>67</v>
      </c>
      <c r="H42" s="48" t="s">
        <v>98</v>
      </c>
      <c r="I42" s="46" t="s">
        <v>20</v>
      </c>
      <c r="J42" s="306" t="s">
        <v>332</v>
      </c>
      <c r="K42" s="309"/>
      <c r="L42" s="116" t="s">
        <v>542</v>
      </c>
      <c r="M42" s="116" t="s">
        <v>513</v>
      </c>
      <c r="N42" s="307" t="s">
        <v>24</v>
      </c>
      <c r="O42" s="308" t="s">
        <v>280</v>
      </c>
      <c r="P42" s="116" t="s">
        <v>288</v>
      </c>
      <c r="S42" s="216"/>
      <c r="T42" s="216">
        <v>15390</v>
      </c>
      <c r="U42" s="216">
        <v>20005</v>
      </c>
      <c r="V42" s="216">
        <v>22005</v>
      </c>
      <c r="W42" s="216"/>
      <c r="X42" s="216"/>
      <c r="Y42" s="216"/>
      <c r="Z42" s="216">
        <v>1042</v>
      </c>
      <c r="AB42" s="214"/>
    </row>
    <row r="43" spans="1:28" s="50" customFormat="1" ht="13.8">
      <c r="A43" s="45" t="s">
        <v>336</v>
      </c>
      <c r="B43" s="46">
        <v>372</v>
      </c>
      <c r="C43" s="46">
        <f t="shared" si="9"/>
        <v>52080</v>
      </c>
      <c r="D43" s="47" t="s">
        <v>25</v>
      </c>
      <c r="E43" s="46">
        <v>0.95</v>
      </c>
      <c r="F43" s="46" t="s">
        <v>19</v>
      </c>
      <c r="G43" s="46">
        <v>67</v>
      </c>
      <c r="H43" s="48" t="s">
        <v>98</v>
      </c>
      <c r="I43" s="46" t="s">
        <v>20</v>
      </c>
      <c r="J43" s="306" t="s">
        <v>333</v>
      </c>
      <c r="K43" s="309"/>
      <c r="L43" s="116" t="s">
        <v>542</v>
      </c>
      <c r="M43" s="116" t="s">
        <v>513</v>
      </c>
      <c r="N43" s="307" t="s">
        <v>24</v>
      </c>
      <c r="O43" s="308" t="s">
        <v>280</v>
      </c>
      <c r="P43" s="116" t="s">
        <v>288</v>
      </c>
      <c r="S43" s="216"/>
      <c r="T43" s="216">
        <v>15390</v>
      </c>
      <c r="U43" s="216">
        <v>20005</v>
      </c>
      <c r="V43" s="216">
        <v>22005</v>
      </c>
      <c r="W43" s="216"/>
      <c r="X43" s="216"/>
      <c r="Y43" s="216"/>
      <c r="Z43" s="216">
        <v>1043</v>
      </c>
      <c r="AB43" s="214"/>
    </row>
    <row r="44" spans="1:28" s="50" customFormat="1" ht="13.8">
      <c r="A44" s="45" t="s">
        <v>335</v>
      </c>
      <c r="B44" s="46">
        <v>372</v>
      </c>
      <c r="C44" s="46">
        <f t="shared" ref="C44:C46" si="10">B44*140</f>
        <v>52080</v>
      </c>
      <c r="D44" s="47" t="s">
        <v>25</v>
      </c>
      <c r="E44" s="46">
        <v>0.95</v>
      </c>
      <c r="F44" s="46" t="s">
        <v>19</v>
      </c>
      <c r="G44" s="46">
        <v>67</v>
      </c>
      <c r="H44" s="48" t="s">
        <v>98</v>
      </c>
      <c r="I44" s="46" t="s">
        <v>20</v>
      </c>
      <c r="J44" s="306" t="s">
        <v>334</v>
      </c>
      <c r="K44" s="309"/>
      <c r="L44" s="116" t="s">
        <v>542</v>
      </c>
      <c r="M44" s="116" t="s">
        <v>513</v>
      </c>
      <c r="N44" s="307" t="s">
        <v>24</v>
      </c>
      <c r="O44" s="308" t="s">
        <v>280</v>
      </c>
      <c r="P44" s="116" t="s">
        <v>288</v>
      </c>
      <c r="S44" s="216"/>
      <c r="T44" s="216">
        <v>15390</v>
      </c>
      <c r="U44" s="216">
        <v>20005</v>
      </c>
      <c r="V44" s="216">
        <v>22005</v>
      </c>
      <c r="W44" s="216"/>
      <c r="X44" s="216"/>
      <c r="Y44" s="216"/>
      <c r="Z44" s="216">
        <v>1044</v>
      </c>
      <c r="AB44" s="214"/>
    </row>
    <row r="45" spans="1:28" s="50" customFormat="1" ht="13.8">
      <c r="A45" s="45" t="s">
        <v>347</v>
      </c>
      <c r="B45" s="46">
        <v>32</v>
      </c>
      <c r="C45" s="46">
        <f t="shared" si="10"/>
        <v>4480</v>
      </c>
      <c r="D45" s="47" t="s">
        <v>25</v>
      </c>
      <c r="E45" s="46">
        <v>0.95</v>
      </c>
      <c r="F45" s="46" t="s">
        <v>19</v>
      </c>
      <c r="G45" s="46">
        <v>67</v>
      </c>
      <c r="H45" s="48" t="s">
        <v>98</v>
      </c>
      <c r="I45" s="46" t="s">
        <v>20</v>
      </c>
      <c r="J45" s="52" t="s">
        <v>79</v>
      </c>
      <c r="K45" s="309"/>
      <c r="L45" s="116" t="s">
        <v>542</v>
      </c>
      <c r="M45" s="116" t="s">
        <v>513</v>
      </c>
      <c r="N45" s="307" t="s">
        <v>24</v>
      </c>
      <c r="O45" s="308" t="s">
        <v>280</v>
      </c>
      <c r="P45" s="116" t="s">
        <v>288</v>
      </c>
      <c r="S45" s="215"/>
      <c r="T45" s="215">
        <v>3080</v>
      </c>
      <c r="U45" s="215">
        <v>4005</v>
      </c>
      <c r="V45" s="215">
        <v>4405</v>
      </c>
      <c r="W45" s="333"/>
      <c r="X45" s="333"/>
      <c r="Y45" s="333"/>
      <c r="Z45" s="215">
        <v>1045</v>
      </c>
      <c r="AB45" s="214"/>
    </row>
    <row r="46" spans="1:28" s="50" customFormat="1" ht="13.8">
      <c r="A46" s="45" t="s">
        <v>348</v>
      </c>
      <c r="B46" s="46">
        <v>48</v>
      </c>
      <c r="C46" s="46">
        <f t="shared" si="10"/>
        <v>6720</v>
      </c>
      <c r="D46" s="47" t="s">
        <v>25</v>
      </c>
      <c r="E46" s="46">
        <v>0.95</v>
      </c>
      <c r="F46" s="46" t="s">
        <v>19</v>
      </c>
      <c r="G46" s="46">
        <v>67</v>
      </c>
      <c r="H46" s="48" t="s">
        <v>98</v>
      </c>
      <c r="I46" s="46" t="s">
        <v>20</v>
      </c>
      <c r="J46" s="52" t="s">
        <v>80</v>
      </c>
      <c r="K46" s="309"/>
      <c r="L46" s="116" t="s">
        <v>542</v>
      </c>
      <c r="M46" s="116" t="s">
        <v>513</v>
      </c>
      <c r="N46" s="307" t="s">
        <v>24</v>
      </c>
      <c r="O46" s="308" t="s">
        <v>280</v>
      </c>
      <c r="P46" s="116" t="s">
        <v>288</v>
      </c>
      <c r="S46" s="215"/>
      <c r="T46" s="215">
        <v>3695</v>
      </c>
      <c r="U46" s="215">
        <v>4805</v>
      </c>
      <c r="V46" s="215">
        <v>5285</v>
      </c>
      <c r="W46" s="333"/>
      <c r="X46" s="333"/>
      <c r="Y46" s="333"/>
      <c r="Z46" s="215">
        <v>1046</v>
      </c>
      <c r="AB46" s="214"/>
    </row>
    <row r="47" spans="1:28" s="50" customFormat="1" ht="13.8">
      <c r="A47" s="45" t="s">
        <v>124</v>
      </c>
      <c r="B47" s="46">
        <v>64</v>
      </c>
      <c r="C47" s="46">
        <f t="shared" si="0"/>
        <v>8960</v>
      </c>
      <c r="D47" s="47" t="s">
        <v>25</v>
      </c>
      <c r="E47" s="46">
        <v>0.95</v>
      </c>
      <c r="F47" s="46" t="s">
        <v>19</v>
      </c>
      <c r="G47" s="46">
        <v>67</v>
      </c>
      <c r="H47" s="48" t="s">
        <v>98</v>
      </c>
      <c r="I47" s="46" t="s">
        <v>20</v>
      </c>
      <c r="J47" s="52" t="s">
        <v>79</v>
      </c>
      <c r="K47" s="309"/>
      <c r="L47" s="116" t="s">
        <v>542</v>
      </c>
      <c r="M47" s="116" t="s">
        <v>513</v>
      </c>
      <c r="N47" s="309" t="s">
        <v>15</v>
      </c>
      <c r="O47" s="308" t="s">
        <v>280</v>
      </c>
      <c r="P47" s="116" t="s">
        <v>288</v>
      </c>
      <c r="Q47" s="49"/>
      <c r="S47" s="215"/>
      <c r="T47" s="215">
        <v>3720</v>
      </c>
      <c r="U47" s="215">
        <v>4835</v>
      </c>
      <c r="V47" s="215">
        <v>5320</v>
      </c>
      <c r="W47" s="333"/>
      <c r="X47" s="333"/>
      <c r="Y47" s="333"/>
      <c r="Z47" s="215">
        <v>1047</v>
      </c>
      <c r="AB47" s="214"/>
    </row>
    <row r="48" spans="1:28" s="50" customFormat="1" ht="13.8">
      <c r="A48" s="45" t="s">
        <v>125</v>
      </c>
      <c r="B48" s="46">
        <v>96</v>
      </c>
      <c r="C48" s="46">
        <f t="shared" si="0"/>
        <v>13440</v>
      </c>
      <c r="D48" s="47" t="s">
        <v>25</v>
      </c>
      <c r="E48" s="46">
        <v>0.95</v>
      </c>
      <c r="F48" s="46" t="s">
        <v>19</v>
      </c>
      <c r="G48" s="46">
        <v>67</v>
      </c>
      <c r="H48" s="48" t="s">
        <v>98</v>
      </c>
      <c r="I48" s="46" t="s">
        <v>20</v>
      </c>
      <c r="J48" s="52" t="s">
        <v>80</v>
      </c>
      <c r="K48" s="309"/>
      <c r="L48" s="116" t="s">
        <v>542</v>
      </c>
      <c r="M48" s="116" t="s">
        <v>513</v>
      </c>
      <c r="N48" s="309" t="s">
        <v>15</v>
      </c>
      <c r="O48" s="308" t="s">
        <v>280</v>
      </c>
      <c r="P48" s="116" t="s">
        <v>288</v>
      </c>
      <c r="Q48" s="49"/>
      <c r="S48" s="215"/>
      <c r="T48" s="215">
        <v>4360</v>
      </c>
      <c r="U48" s="215">
        <v>5670</v>
      </c>
      <c r="V48" s="215">
        <v>6235</v>
      </c>
      <c r="W48" s="333"/>
      <c r="X48" s="333"/>
      <c r="Y48" s="333"/>
      <c r="Z48" s="215">
        <v>1048</v>
      </c>
      <c r="AB48" s="214"/>
    </row>
    <row r="49" spans="1:28" s="50" customFormat="1" ht="13.8">
      <c r="A49" s="45" t="s">
        <v>126</v>
      </c>
      <c r="B49" s="46">
        <v>124</v>
      </c>
      <c r="C49" s="46">
        <f t="shared" si="0"/>
        <v>17360</v>
      </c>
      <c r="D49" s="47" t="s">
        <v>25</v>
      </c>
      <c r="E49" s="46">
        <v>0.95</v>
      </c>
      <c r="F49" s="46" t="s">
        <v>19</v>
      </c>
      <c r="G49" s="46">
        <v>67</v>
      </c>
      <c r="H49" s="48" t="s">
        <v>98</v>
      </c>
      <c r="I49" s="46" t="s">
        <v>20</v>
      </c>
      <c r="J49" s="52" t="s">
        <v>81</v>
      </c>
      <c r="K49" s="309"/>
      <c r="L49" s="116" t="s">
        <v>542</v>
      </c>
      <c r="M49" s="116" t="s">
        <v>513</v>
      </c>
      <c r="N49" s="309" t="s">
        <v>15</v>
      </c>
      <c r="O49" s="308" t="s">
        <v>280</v>
      </c>
      <c r="P49" s="116" t="s">
        <v>288</v>
      </c>
      <c r="Q49" s="49"/>
      <c r="S49" s="215"/>
      <c r="T49" s="215">
        <v>4930</v>
      </c>
      <c r="U49" s="215">
        <v>6410</v>
      </c>
      <c r="V49" s="215">
        <v>7050</v>
      </c>
      <c r="W49" s="333"/>
      <c r="X49" s="333"/>
      <c r="Y49" s="333"/>
      <c r="Z49" s="215">
        <v>1049</v>
      </c>
      <c r="AB49" s="214"/>
    </row>
    <row r="50" spans="1:28" s="50" customFormat="1" ht="13.8">
      <c r="A50" s="45" t="s">
        <v>127</v>
      </c>
      <c r="B50" s="46">
        <v>192</v>
      </c>
      <c r="C50" s="46">
        <f t="shared" si="0"/>
        <v>26880</v>
      </c>
      <c r="D50" s="47" t="s">
        <v>25</v>
      </c>
      <c r="E50" s="46">
        <v>0.95</v>
      </c>
      <c r="F50" s="46" t="s">
        <v>19</v>
      </c>
      <c r="G50" s="46">
        <v>67</v>
      </c>
      <c r="H50" s="48" t="s">
        <v>98</v>
      </c>
      <c r="I50" s="46" t="s">
        <v>20</v>
      </c>
      <c r="J50" s="52" t="s">
        <v>82</v>
      </c>
      <c r="K50" s="309"/>
      <c r="L50" s="116" t="s">
        <v>542</v>
      </c>
      <c r="M50" s="116" t="s">
        <v>513</v>
      </c>
      <c r="N50" s="309" t="s">
        <v>15</v>
      </c>
      <c r="O50" s="308" t="s">
        <v>280</v>
      </c>
      <c r="P50" s="116" t="s">
        <v>288</v>
      </c>
      <c r="Q50" s="49"/>
      <c r="S50" s="215"/>
      <c r="T50" s="215">
        <v>7290</v>
      </c>
      <c r="U50" s="215">
        <v>9475</v>
      </c>
      <c r="V50" s="215">
        <v>10425</v>
      </c>
      <c r="W50" s="333"/>
      <c r="X50" s="333"/>
      <c r="Y50" s="333"/>
      <c r="Z50" s="215">
        <v>1050</v>
      </c>
      <c r="AB50" s="214"/>
    </row>
    <row r="51" spans="1:28" s="50" customFormat="1" ht="13.8">
      <c r="A51" s="45" t="s">
        <v>128</v>
      </c>
      <c r="B51" s="46">
        <v>192</v>
      </c>
      <c r="C51" s="46">
        <f t="shared" si="0"/>
        <v>26880</v>
      </c>
      <c r="D51" s="47" t="s">
        <v>25</v>
      </c>
      <c r="E51" s="46">
        <v>0.95</v>
      </c>
      <c r="F51" s="46" t="s">
        <v>19</v>
      </c>
      <c r="G51" s="46">
        <v>67</v>
      </c>
      <c r="H51" s="48" t="s">
        <v>98</v>
      </c>
      <c r="I51" s="46" t="s">
        <v>20</v>
      </c>
      <c r="J51" s="52" t="s">
        <v>83</v>
      </c>
      <c r="K51" s="309"/>
      <c r="L51" s="116" t="s">
        <v>542</v>
      </c>
      <c r="M51" s="116" t="s">
        <v>513</v>
      </c>
      <c r="N51" s="309" t="s">
        <v>15</v>
      </c>
      <c r="O51" s="308" t="s">
        <v>280</v>
      </c>
      <c r="P51" s="116" t="s">
        <v>288</v>
      </c>
      <c r="Q51" s="49"/>
      <c r="S51" s="215"/>
      <c r="T51" s="215">
        <v>8725</v>
      </c>
      <c r="U51" s="215">
        <v>11345</v>
      </c>
      <c r="V51" s="215">
        <v>12480</v>
      </c>
      <c r="W51" s="333"/>
      <c r="X51" s="333"/>
      <c r="Y51" s="333"/>
      <c r="Z51" s="215">
        <v>1051</v>
      </c>
      <c r="AB51" s="214"/>
    </row>
    <row r="52" spans="1:28" s="50" customFormat="1" ht="13.8">
      <c r="A52" s="45" t="s">
        <v>129</v>
      </c>
      <c r="B52" s="46">
        <v>248</v>
      </c>
      <c r="C52" s="46">
        <f t="shared" si="0"/>
        <v>34720</v>
      </c>
      <c r="D52" s="47" t="s">
        <v>25</v>
      </c>
      <c r="E52" s="46">
        <v>0.95</v>
      </c>
      <c r="F52" s="46" t="s">
        <v>19</v>
      </c>
      <c r="G52" s="46">
        <v>67</v>
      </c>
      <c r="H52" s="48" t="s">
        <v>98</v>
      </c>
      <c r="I52" s="46" t="s">
        <v>20</v>
      </c>
      <c r="J52" s="52" t="s">
        <v>84</v>
      </c>
      <c r="K52" s="309"/>
      <c r="L52" s="116" t="s">
        <v>542</v>
      </c>
      <c r="M52" s="116" t="s">
        <v>513</v>
      </c>
      <c r="N52" s="309" t="s">
        <v>15</v>
      </c>
      <c r="O52" s="308" t="s">
        <v>280</v>
      </c>
      <c r="P52" s="116" t="s">
        <v>288</v>
      </c>
      <c r="Q52" s="49"/>
      <c r="S52" s="215"/>
      <c r="T52" s="215">
        <v>9850</v>
      </c>
      <c r="U52" s="215">
        <v>12805</v>
      </c>
      <c r="V52" s="215">
        <v>14085</v>
      </c>
      <c r="W52" s="333"/>
      <c r="X52" s="333"/>
      <c r="Y52" s="333"/>
      <c r="Z52" s="215">
        <v>1052</v>
      </c>
      <c r="AB52" s="214"/>
    </row>
    <row r="53" spans="1:28" s="50" customFormat="1" ht="13.8">
      <c r="A53" s="45" t="s">
        <v>130</v>
      </c>
      <c r="B53" s="46">
        <f>96</f>
        <v>96</v>
      </c>
      <c r="C53" s="46">
        <f t="shared" si="0"/>
        <v>13440</v>
      </c>
      <c r="D53" s="47" t="s">
        <v>25</v>
      </c>
      <c r="E53" s="46">
        <v>0.95</v>
      </c>
      <c r="F53" s="46" t="s">
        <v>8</v>
      </c>
      <c r="G53" s="46">
        <v>67</v>
      </c>
      <c r="H53" s="48" t="s">
        <v>98</v>
      </c>
      <c r="I53" s="46" t="s">
        <v>20</v>
      </c>
      <c r="J53" s="52" t="s">
        <v>63</v>
      </c>
      <c r="K53" s="309"/>
      <c r="L53" s="116" t="s">
        <v>542</v>
      </c>
      <c r="M53" s="116" t="s">
        <v>513</v>
      </c>
      <c r="N53" s="309" t="s">
        <v>15</v>
      </c>
      <c r="O53" s="308" t="s">
        <v>280</v>
      </c>
      <c r="P53" s="116" t="s">
        <v>288</v>
      </c>
      <c r="Q53" s="49"/>
      <c r="S53" s="216"/>
      <c r="T53" s="216">
        <v>5575</v>
      </c>
      <c r="U53" s="216">
        <v>7250</v>
      </c>
      <c r="V53" s="216">
        <v>7975</v>
      </c>
      <c r="W53" s="216"/>
      <c r="X53" s="216"/>
      <c r="Y53" s="216"/>
      <c r="Z53" s="216">
        <v>1053</v>
      </c>
      <c r="AB53" s="214"/>
    </row>
    <row r="54" spans="1:28" s="50" customFormat="1" ht="13.8">
      <c r="A54" s="45" t="s">
        <v>131</v>
      </c>
      <c r="B54" s="46">
        <f>48*3</f>
        <v>144</v>
      </c>
      <c r="C54" s="46">
        <f t="shared" si="0"/>
        <v>20160</v>
      </c>
      <c r="D54" s="47" t="s">
        <v>25</v>
      </c>
      <c r="E54" s="46">
        <v>0.95</v>
      </c>
      <c r="F54" s="46" t="s">
        <v>8</v>
      </c>
      <c r="G54" s="46">
        <v>67</v>
      </c>
      <c r="H54" s="48" t="s">
        <v>98</v>
      </c>
      <c r="I54" s="46" t="s">
        <v>20</v>
      </c>
      <c r="J54" s="52" t="s">
        <v>64</v>
      </c>
      <c r="K54" s="309"/>
      <c r="L54" s="116" t="s">
        <v>542</v>
      </c>
      <c r="M54" s="116" t="s">
        <v>513</v>
      </c>
      <c r="N54" s="309" t="s">
        <v>15</v>
      </c>
      <c r="O54" s="308" t="s">
        <v>280</v>
      </c>
      <c r="P54" s="116" t="s">
        <v>288</v>
      </c>
      <c r="Q54" s="49"/>
      <c r="S54" s="216"/>
      <c r="T54" s="216">
        <v>6540</v>
      </c>
      <c r="U54" s="216">
        <v>8500</v>
      </c>
      <c r="V54" s="216">
        <v>9350</v>
      </c>
      <c r="W54" s="216"/>
      <c r="X54" s="216"/>
      <c r="Y54" s="216"/>
      <c r="Z54" s="216">
        <v>1054</v>
      </c>
      <c r="AB54" s="214"/>
    </row>
    <row r="55" spans="1:28" s="50" customFormat="1" ht="13.8">
      <c r="A55" s="45" t="s">
        <v>132</v>
      </c>
      <c r="B55" s="46">
        <v>186</v>
      </c>
      <c r="C55" s="46">
        <f t="shared" si="0"/>
        <v>26040</v>
      </c>
      <c r="D55" s="47" t="s">
        <v>25</v>
      </c>
      <c r="E55" s="46">
        <v>0.95</v>
      </c>
      <c r="F55" s="46" t="s">
        <v>8</v>
      </c>
      <c r="G55" s="46">
        <v>67</v>
      </c>
      <c r="H55" s="48" t="s">
        <v>98</v>
      </c>
      <c r="I55" s="46" t="s">
        <v>20</v>
      </c>
      <c r="J55" s="52" t="s">
        <v>65</v>
      </c>
      <c r="K55" s="309"/>
      <c r="L55" s="116" t="s">
        <v>542</v>
      </c>
      <c r="M55" s="116" t="s">
        <v>513</v>
      </c>
      <c r="N55" s="309" t="s">
        <v>15</v>
      </c>
      <c r="O55" s="308" t="s">
        <v>280</v>
      </c>
      <c r="P55" s="116" t="s">
        <v>288</v>
      </c>
      <c r="Q55" s="49"/>
      <c r="S55" s="216"/>
      <c r="T55" s="216">
        <v>7385</v>
      </c>
      <c r="U55" s="216">
        <v>9600</v>
      </c>
      <c r="V55" s="216">
        <v>10560</v>
      </c>
      <c r="W55" s="216"/>
      <c r="X55" s="216"/>
      <c r="Y55" s="216"/>
      <c r="Z55" s="216">
        <v>1055</v>
      </c>
      <c r="AB55" s="214"/>
    </row>
    <row r="56" spans="1:28" s="50" customFormat="1" ht="13.8">
      <c r="A56" s="45" t="s">
        <v>133</v>
      </c>
      <c r="B56" s="46">
        <f>96*3</f>
        <v>288</v>
      </c>
      <c r="C56" s="46">
        <f t="shared" si="0"/>
        <v>40320</v>
      </c>
      <c r="D56" s="47" t="s">
        <v>25</v>
      </c>
      <c r="E56" s="46">
        <v>0.95</v>
      </c>
      <c r="F56" s="46" t="s">
        <v>8</v>
      </c>
      <c r="G56" s="46">
        <v>67</v>
      </c>
      <c r="H56" s="48" t="s">
        <v>98</v>
      </c>
      <c r="I56" s="46" t="s">
        <v>20</v>
      </c>
      <c r="J56" s="52" t="s">
        <v>66</v>
      </c>
      <c r="K56" s="309"/>
      <c r="L56" s="116" t="s">
        <v>542</v>
      </c>
      <c r="M56" s="116" t="s">
        <v>513</v>
      </c>
      <c r="N56" s="309" t="s">
        <v>15</v>
      </c>
      <c r="O56" s="308" t="s">
        <v>280</v>
      </c>
      <c r="P56" s="116" t="s">
        <v>288</v>
      </c>
      <c r="Q56" s="49"/>
      <c r="S56" s="216"/>
      <c r="T56" s="216">
        <v>10925</v>
      </c>
      <c r="U56" s="216">
        <v>14205</v>
      </c>
      <c r="V56" s="216">
        <v>15625</v>
      </c>
      <c r="W56" s="216"/>
      <c r="X56" s="216"/>
      <c r="Y56" s="216"/>
      <c r="Z56" s="216">
        <v>1056</v>
      </c>
      <c r="AB56" s="214"/>
    </row>
    <row r="57" spans="1:28" s="50" customFormat="1" ht="13.8">
      <c r="A57" s="45" t="s">
        <v>134</v>
      </c>
      <c r="B57" s="46">
        <v>96</v>
      </c>
      <c r="C57" s="46">
        <f t="shared" si="0"/>
        <v>13440</v>
      </c>
      <c r="D57" s="47" t="s">
        <v>25</v>
      </c>
      <c r="E57" s="46">
        <v>0.95</v>
      </c>
      <c r="F57" s="46" t="s">
        <v>19</v>
      </c>
      <c r="G57" s="46">
        <v>67</v>
      </c>
      <c r="H57" s="48" t="s">
        <v>98</v>
      </c>
      <c r="I57" s="46" t="s">
        <v>20</v>
      </c>
      <c r="J57" s="52" t="s">
        <v>71</v>
      </c>
      <c r="K57" s="309"/>
      <c r="L57" s="116" t="s">
        <v>542</v>
      </c>
      <c r="M57" s="116" t="s">
        <v>513</v>
      </c>
      <c r="N57" s="309" t="s">
        <v>15</v>
      </c>
      <c r="O57" s="308" t="s">
        <v>280</v>
      </c>
      <c r="P57" s="116" t="s">
        <v>288</v>
      </c>
      <c r="Q57" s="49"/>
      <c r="S57" s="216"/>
      <c r="T57" s="216">
        <v>5575</v>
      </c>
      <c r="U57" s="216">
        <v>7250</v>
      </c>
      <c r="V57" s="216">
        <v>7975</v>
      </c>
      <c r="W57" s="216"/>
      <c r="X57" s="216"/>
      <c r="Y57" s="216"/>
      <c r="Z57" s="216">
        <v>1057</v>
      </c>
      <c r="AB57" s="214"/>
    </row>
    <row r="58" spans="1:28" s="50" customFormat="1" ht="13.8">
      <c r="A58" s="45" t="s">
        <v>135</v>
      </c>
      <c r="B58" s="46">
        <v>144</v>
      </c>
      <c r="C58" s="46">
        <f t="shared" si="0"/>
        <v>20160</v>
      </c>
      <c r="D58" s="47" t="s">
        <v>25</v>
      </c>
      <c r="E58" s="46">
        <v>0.95</v>
      </c>
      <c r="F58" s="46" t="s">
        <v>19</v>
      </c>
      <c r="G58" s="46">
        <v>67</v>
      </c>
      <c r="H58" s="48" t="s">
        <v>98</v>
      </c>
      <c r="I58" s="46" t="s">
        <v>20</v>
      </c>
      <c r="J58" s="52" t="s">
        <v>72</v>
      </c>
      <c r="K58" s="309"/>
      <c r="L58" s="116" t="s">
        <v>542</v>
      </c>
      <c r="M58" s="116" t="s">
        <v>513</v>
      </c>
      <c r="N58" s="309" t="s">
        <v>15</v>
      </c>
      <c r="O58" s="308" t="s">
        <v>280</v>
      </c>
      <c r="P58" s="116" t="s">
        <v>288</v>
      </c>
      <c r="Q58" s="49"/>
      <c r="S58" s="216"/>
      <c r="T58" s="216">
        <v>6540</v>
      </c>
      <c r="U58" s="216">
        <v>8500</v>
      </c>
      <c r="V58" s="216">
        <v>9350</v>
      </c>
      <c r="W58" s="216"/>
      <c r="X58" s="216"/>
      <c r="Y58" s="216"/>
      <c r="Z58" s="216">
        <v>1058</v>
      </c>
      <c r="AB58" s="214"/>
    </row>
    <row r="59" spans="1:28" s="50" customFormat="1" ht="13.8">
      <c r="A59" s="45" t="s">
        <v>136</v>
      </c>
      <c r="B59" s="46">
        <v>186</v>
      </c>
      <c r="C59" s="46">
        <f t="shared" si="0"/>
        <v>26040</v>
      </c>
      <c r="D59" s="47" t="s">
        <v>25</v>
      </c>
      <c r="E59" s="46">
        <v>0.95</v>
      </c>
      <c r="F59" s="46" t="s">
        <v>19</v>
      </c>
      <c r="G59" s="46">
        <v>67</v>
      </c>
      <c r="H59" s="48" t="s">
        <v>98</v>
      </c>
      <c r="I59" s="46" t="s">
        <v>20</v>
      </c>
      <c r="J59" s="52" t="s">
        <v>73</v>
      </c>
      <c r="K59" s="309"/>
      <c r="L59" s="116" t="s">
        <v>542</v>
      </c>
      <c r="M59" s="116" t="s">
        <v>513</v>
      </c>
      <c r="N59" s="309" t="s">
        <v>15</v>
      </c>
      <c r="O59" s="308" t="s">
        <v>280</v>
      </c>
      <c r="P59" s="116" t="s">
        <v>288</v>
      </c>
      <c r="Q59" s="49"/>
      <c r="S59" s="216"/>
      <c r="T59" s="216">
        <v>7385</v>
      </c>
      <c r="U59" s="216">
        <v>9600</v>
      </c>
      <c r="V59" s="216">
        <v>10560</v>
      </c>
      <c r="W59" s="216"/>
      <c r="X59" s="216"/>
      <c r="Y59" s="216"/>
      <c r="Z59" s="216">
        <v>1059</v>
      </c>
      <c r="AB59" s="214"/>
    </row>
    <row r="60" spans="1:28" s="50" customFormat="1" ht="13.8">
      <c r="A60" s="45" t="s">
        <v>137</v>
      </c>
      <c r="B60" s="46">
        <v>288</v>
      </c>
      <c r="C60" s="46">
        <f t="shared" si="0"/>
        <v>40320</v>
      </c>
      <c r="D60" s="47" t="s">
        <v>25</v>
      </c>
      <c r="E60" s="46">
        <v>0.95</v>
      </c>
      <c r="F60" s="46" t="s">
        <v>19</v>
      </c>
      <c r="G60" s="46">
        <v>67</v>
      </c>
      <c r="H60" s="48" t="s">
        <v>98</v>
      </c>
      <c r="I60" s="46" t="s">
        <v>20</v>
      </c>
      <c r="J60" s="52" t="s">
        <v>74</v>
      </c>
      <c r="K60" s="309"/>
      <c r="L60" s="116" t="s">
        <v>542</v>
      </c>
      <c r="M60" s="116" t="s">
        <v>513</v>
      </c>
      <c r="N60" s="309" t="s">
        <v>15</v>
      </c>
      <c r="O60" s="308" t="s">
        <v>280</v>
      </c>
      <c r="P60" s="116" t="s">
        <v>288</v>
      </c>
      <c r="Q60" s="49"/>
      <c r="S60" s="216"/>
      <c r="T60" s="216">
        <v>10925</v>
      </c>
      <c r="U60" s="216">
        <v>14205</v>
      </c>
      <c r="V60" s="216">
        <v>15625</v>
      </c>
      <c r="W60" s="216"/>
      <c r="X60" s="216"/>
      <c r="Y60" s="216"/>
      <c r="Z60" s="216">
        <v>1060</v>
      </c>
      <c r="AB60" s="214"/>
    </row>
    <row r="61" spans="1:28" s="50" customFormat="1" ht="13.8">
      <c r="A61" s="51" t="s">
        <v>138</v>
      </c>
      <c r="B61" s="46">
        <v>96</v>
      </c>
      <c r="C61" s="46">
        <f t="shared" si="0"/>
        <v>13440</v>
      </c>
      <c r="D61" s="47" t="s">
        <v>25</v>
      </c>
      <c r="E61" s="46">
        <v>0.95</v>
      </c>
      <c r="F61" s="46" t="s">
        <v>8</v>
      </c>
      <c r="G61" s="46">
        <v>67</v>
      </c>
      <c r="H61" s="48" t="s">
        <v>98</v>
      </c>
      <c r="I61" s="46" t="s">
        <v>20</v>
      </c>
      <c r="J61" s="52" t="s">
        <v>67</v>
      </c>
      <c r="K61" s="309"/>
      <c r="L61" s="116" t="s">
        <v>542</v>
      </c>
      <c r="M61" s="116" t="s">
        <v>513</v>
      </c>
      <c r="N61" s="309" t="s">
        <v>15</v>
      </c>
      <c r="O61" s="308" t="s">
        <v>280</v>
      </c>
      <c r="P61" s="116" t="s">
        <v>288</v>
      </c>
      <c r="Q61" s="49"/>
      <c r="S61" s="216"/>
      <c r="T61" s="216">
        <v>5575</v>
      </c>
      <c r="U61" s="216">
        <v>7250</v>
      </c>
      <c r="V61" s="216">
        <v>7975</v>
      </c>
      <c r="W61" s="216"/>
      <c r="X61" s="216"/>
      <c r="Y61" s="216"/>
      <c r="Z61" s="216">
        <v>1061</v>
      </c>
      <c r="AB61" s="214"/>
    </row>
    <row r="62" spans="1:28" s="50" customFormat="1" ht="13.8">
      <c r="A62" s="51" t="s">
        <v>139</v>
      </c>
      <c r="B62" s="46">
        <v>144</v>
      </c>
      <c r="C62" s="46">
        <f t="shared" si="0"/>
        <v>20160</v>
      </c>
      <c r="D62" s="47" t="s">
        <v>25</v>
      </c>
      <c r="E62" s="46">
        <v>0.95</v>
      </c>
      <c r="F62" s="46" t="s">
        <v>8</v>
      </c>
      <c r="G62" s="46">
        <v>67</v>
      </c>
      <c r="H62" s="48" t="s">
        <v>98</v>
      </c>
      <c r="I62" s="46" t="s">
        <v>20</v>
      </c>
      <c r="J62" s="52" t="s">
        <v>68</v>
      </c>
      <c r="K62" s="309"/>
      <c r="L62" s="116" t="s">
        <v>542</v>
      </c>
      <c r="M62" s="116" t="s">
        <v>513</v>
      </c>
      <c r="N62" s="309" t="s">
        <v>15</v>
      </c>
      <c r="O62" s="308" t="s">
        <v>280</v>
      </c>
      <c r="P62" s="116" t="s">
        <v>288</v>
      </c>
      <c r="Q62" s="49"/>
      <c r="S62" s="216"/>
      <c r="T62" s="216">
        <v>6540</v>
      </c>
      <c r="U62" s="216">
        <v>8500</v>
      </c>
      <c r="V62" s="216">
        <v>9350</v>
      </c>
      <c r="W62" s="216"/>
      <c r="X62" s="216"/>
      <c r="Y62" s="216"/>
      <c r="Z62" s="216">
        <v>1062</v>
      </c>
      <c r="AB62" s="214"/>
    </row>
    <row r="63" spans="1:28" s="50" customFormat="1" ht="13.8">
      <c r="A63" s="51" t="s">
        <v>140</v>
      </c>
      <c r="B63" s="46">
        <v>186</v>
      </c>
      <c r="C63" s="46">
        <f t="shared" si="0"/>
        <v>26040</v>
      </c>
      <c r="D63" s="47" t="s">
        <v>25</v>
      </c>
      <c r="E63" s="46">
        <v>0.95</v>
      </c>
      <c r="F63" s="46" t="s">
        <v>8</v>
      </c>
      <c r="G63" s="46">
        <v>67</v>
      </c>
      <c r="H63" s="48" t="s">
        <v>98</v>
      </c>
      <c r="I63" s="46" t="s">
        <v>20</v>
      </c>
      <c r="J63" s="52" t="s">
        <v>69</v>
      </c>
      <c r="K63" s="309"/>
      <c r="L63" s="116" t="s">
        <v>542</v>
      </c>
      <c r="M63" s="116" t="s">
        <v>513</v>
      </c>
      <c r="N63" s="309" t="s">
        <v>15</v>
      </c>
      <c r="O63" s="308" t="s">
        <v>280</v>
      </c>
      <c r="P63" s="116" t="s">
        <v>288</v>
      </c>
      <c r="Q63" s="49"/>
      <c r="S63" s="216"/>
      <c r="T63" s="216">
        <v>7385</v>
      </c>
      <c r="U63" s="216">
        <v>9600</v>
      </c>
      <c r="V63" s="216">
        <v>10560</v>
      </c>
      <c r="W63" s="216"/>
      <c r="X63" s="216"/>
      <c r="Y63" s="216"/>
      <c r="Z63" s="216">
        <v>1063</v>
      </c>
      <c r="AB63" s="214"/>
    </row>
    <row r="64" spans="1:28" s="50" customFormat="1" ht="13.8">
      <c r="A64" s="51" t="s">
        <v>141</v>
      </c>
      <c r="B64" s="46">
        <v>288</v>
      </c>
      <c r="C64" s="46">
        <f t="shared" si="0"/>
        <v>40320</v>
      </c>
      <c r="D64" s="47" t="s">
        <v>25</v>
      </c>
      <c r="E64" s="46">
        <v>0.95</v>
      </c>
      <c r="F64" s="46" t="s">
        <v>8</v>
      </c>
      <c r="G64" s="46">
        <v>67</v>
      </c>
      <c r="H64" s="48" t="s">
        <v>98</v>
      </c>
      <c r="I64" s="46" t="s">
        <v>20</v>
      </c>
      <c r="J64" s="52" t="s">
        <v>70</v>
      </c>
      <c r="K64" s="309"/>
      <c r="L64" s="116" t="s">
        <v>542</v>
      </c>
      <c r="M64" s="116" t="s">
        <v>513</v>
      </c>
      <c r="N64" s="309" t="s">
        <v>15</v>
      </c>
      <c r="O64" s="308" t="s">
        <v>280</v>
      </c>
      <c r="P64" s="116" t="s">
        <v>288</v>
      </c>
      <c r="Q64" s="49"/>
      <c r="S64" s="216"/>
      <c r="T64" s="216">
        <v>10925</v>
      </c>
      <c r="U64" s="216">
        <v>14205</v>
      </c>
      <c r="V64" s="216">
        <v>15625</v>
      </c>
      <c r="W64" s="216"/>
      <c r="X64" s="216"/>
      <c r="Y64" s="216"/>
      <c r="Z64" s="216">
        <v>1064</v>
      </c>
    </row>
    <row r="65" spans="1:28" s="50" customFormat="1" ht="13.8">
      <c r="A65" s="51" t="s">
        <v>142</v>
      </c>
      <c r="B65" s="46">
        <v>96</v>
      </c>
      <c r="C65" s="46">
        <f t="shared" si="0"/>
        <v>13440</v>
      </c>
      <c r="D65" s="47" t="s">
        <v>25</v>
      </c>
      <c r="E65" s="46">
        <v>0.95</v>
      </c>
      <c r="F65" s="46" t="s">
        <v>19</v>
      </c>
      <c r="G65" s="46">
        <v>67</v>
      </c>
      <c r="H65" s="48" t="s">
        <v>98</v>
      </c>
      <c r="I65" s="46" t="s">
        <v>20</v>
      </c>
      <c r="J65" s="52" t="s">
        <v>75</v>
      </c>
      <c r="K65" s="309"/>
      <c r="L65" s="116" t="s">
        <v>542</v>
      </c>
      <c r="M65" s="116" t="s">
        <v>513</v>
      </c>
      <c r="N65" s="309" t="s">
        <v>15</v>
      </c>
      <c r="O65" s="308" t="s">
        <v>280</v>
      </c>
      <c r="P65" s="116" t="s">
        <v>288</v>
      </c>
      <c r="Q65" s="49"/>
      <c r="S65" s="216"/>
      <c r="T65" s="216">
        <v>5575</v>
      </c>
      <c r="U65" s="216">
        <v>7250</v>
      </c>
      <c r="V65" s="216">
        <v>7975</v>
      </c>
      <c r="W65" s="216"/>
      <c r="X65" s="216"/>
      <c r="Y65" s="216"/>
      <c r="Z65" s="216">
        <v>1065</v>
      </c>
      <c r="AB65" s="214"/>
    </row>
    <row r="66" spans="1:28" s="50" customFormat="1" ht="13.8">
      <c r="A66" s="51" t="s">
        <v>143</v>
      </c>
      <c r="B66" s="46">
        <v>144</v>
      </c>
      <c r="C66" s="46">
        <f t="shared" si="0"/>
        <v>20160</v>
      </c>
      <c r="D66" s="47" t="s">
        <v>25</v>
      </c>
      <c r="E66" s="46">
        <v>0.95</v>
      </c>
      <c r="F66" s="46" t="s">
        <v>19</v>
      </c>
      <c r="G66" s="46">
        <v>67</v>
      </c>
      <c r="H66" s="48" t="s">
        <v>98</v>
      </c>
      <c r="I66" s="46" t="s">
        <v>20</v>
      </c>
      <c r="J66" s="52" t="s">
        <v>76</v>
      </c>
      <c r="K66" s="309"/>
      <c r="L66" s="116" t="s">
        <v>542</v>
      </c>
      <c r="M66" s="116" t="s">
        <v>513</v>
      </c>
      <c r="N66" s="309" t="s">
        <v>15</v>
      </c>
      <c r="O66" s="308" t="s">
        <v>280</v>
      </c>
      <c r="P66" s="116" t="s">
        <v>288</v>
      </c>
      <c r="Q66" s="49"/>
      <c r="S66" s="216"/>
      <c r="T66" s="216">
        <v>6540</v>
      </c>
      <c r="U66" s="216">
        <v>8500</v>
      </c>
      <c r="V66" s="216">
        <v>9350</v>
      </c>
      <c r="W66" s="216"/>
      <c r="X66" s="216"/>
      <c r="Y66" s="216"/>
      <c r="Z66" s="216">
        <v>1066</v>
      </c>
      <c r="AB66" s="214"/>
    </row>
    <row r="67" spans="1:28" s="50" customFormat="1" ht="13.8">
      <c r="A67" s="51" t="s">
        <v>144</v>
      </c>
      <c r="B67" s="46">
        <v>186</v>
      </c>
      <c r="C67" s="46">
        <f t="shared" si="0"/>
        <v>26040</v>
      </c>
      <c r="D67" s="47" t="s">
        <v>25</v>
      </c>
      <c r="E67" s="46">
        <v>0.95</v>
      </c>
      <c r="F67" s="46" t="s">
        <v>19</v>
      </c>
      <c r="G67" s="46">
        <v>67</v>
      </c>
      <c r="H67" s="48" t="s">
        <v>98</v>
      </c>
      <c r="I67" s="46" t="s">
        <v>20</v>
      </c>
      <c r="J67" s="52" t="s">
        <v>77</v>
      </c>
      <c r="K67" s="309"/>
      <c r="L67" s="116" t="s">
        <v>542</v>
      </c>
      <c r="M67" s="116" t="s">
        <v>513</v>
      </c>
      <c r="N67" s="309" t="s">
        <v>15</v>
      </c>
      <c r="O67" s="308" t="s">
        <v>280</v>
      </c>
      <c r="P67" s="116" t="s">
        <v>288</v>
      </c>
      <c r="Q67" s="49"/>
      <c r="S67" s="216"/>
      <c r="T67" s="216">
        <v>7385</v>
      </c>
      <c r="U67" s="216">
        <v>9600</v>
      </c>
      <c r="V67" s="216">
        <v>10560</v>
      </c>
      <c r="W67" s="216"/>
      <c r="X67" s="216"/>
      <c r="Y67" s="216"/>
      <c r="Z67" s="216">
        <v>1067</v>
      </c>
      <c r="AB67" s="214"/>
    </row>
    <row r="68" spans="1:28" s="50" customFormat="1" ht="13.8">
      <c r="A68" s="51" t="s">
        <v>145</v>
      </c>
      <c r="B68" s="46">
        <v>288</v>
      </c>
      <c r="C68" s="46">
        <f t="shared" si="0"/>
        <v>40320</v>
      </c>
      <c r="D68" s="47" t="s">
        <v>25</v>
      </c>
      <c r="E68" s="46">
        <v>0.95</v>
      </c>
      <c r="F68" s="46" t="s">
        <v>19</v>
      </c>
      <c r="G68" s="46">
        <v>67</v>
      </c>
      <c r="H68" s="48" t="s">
        <v>98</v>
      </c>
      <c r="I68" s="46" t="s">
        <v>20</v>
      </c>
      <c r="J68" s="52" t="s">
        <v>78</v>
      </c>
      <c r="K68" s="309"/>
      <c r="L68" s="116" t="s">
        <v>542</v>
      </c>
      <c r="M68" s="116" t="s">
        <v>513</v>
      </c>
      <c r="N68" s="309" t="s">
        <v>15</v>
      </c>
      <c r="O68" s="308" t="s">
        <v>280</v>
      </c>
      <c r="P68" s="116" t="s">
        <v>288</v>
      </c>
      <c r="Q68" s="49"/>
      <c r="S68" s="216"/>
      <c r="T68" s="216">
        <v>10925</v>
      </c>
      <c r="U68" s="216">
        <v>14205</v>
      </c>
      <c r="V68" s="216">
        <v>15625</v>
      </c>
      <c r="W68" s="216"/>
      <c r="X68" s="216"/>
      <c r="Y68" s="216"/>
      <c r="Z68" s="216">
        <v>1068</v>
      </c>
      <c r="AB68" s="214"/>
    </row>
    <row r="69" spans="1:28" s="50" customFormat="1">
      <c r="A69" s="234" t="s">
        <v>444</v>
      </c>
      <c r="B69" s="235">
        <v>32</v>
      </c>
      <c r="C69" s="235">
        <f>B69*125</f>
        <v>4000</v>
      </c>
      <c r="D69" s="237" t="s">
        <v>25</v>
      </c>
      <c r="E69" s="235">
        <v>0.95</v>
      </c>
      <c r="F69" s="241" t="s">
        <v>8</v>
      </c>
      <c r="G69" s="235">
        <v>67</v>
      </c>
      <c r="H69" s="239"/>
      <c r="I69" s="235" t="s">
        <v>20</v>
      </c>
      <c r="J69" s="310" t="s">
        <v>39</v>
      </c>
      <c r="K69" s="311"/>
      <c r="L69" s="238" t="s">
        <v>542</v>
      </c>
      <c r="M69" s="238" t="s">
        <v>513</v>
      </c>
      <c r="N69" s="311" t="s">
        <v>24</v>
      </c>
      <c r="O69" s="312" t="s">
        <v>407</v>
      </c>
      <c r="P69" s="238" t="s">
        <v>512</v>
      </c>
      <c r="Q69" s="236"/>
      <c r="R69" s="236"/>
      <c r="S69" s="242"/>
      <c r="T69" s="242">
        <v>1595</v>
      </c>
      <c r="U69" s="242">
        <v>2075</v>
      </c>
      <c r="V69" s="242">
        <v>2285</v>
      </c>
      <c r="W69" s="242"/>
      <c r="X69" s="242"/>
      <c r="Y69" s="242"/>
      <c r="Z69" s="242">
        <v>9001</v>
      </c>
      <c r="AB69" s="214"/>
    </row>
    <row r="70" spans="1:28" s="50" customFormat="1">
      <c r="A70" s="234" t="s">
        <v>450</v>
      </c>
      <c r="B70" s="235">
        <v>32</v>
      </c>
      <c r="C70" s="235">
        <f t="shared" ref="C70:C133" si="11">B70*125</f>
        <v>4000</v>
      </c>
      <c r="D70" s="237" t="s">
        <v>25</v>
      </c>
      <c r="E70" s="235">
        <v>0.95</v>
      </c>
      <c r="F70" s="235" t="s">
        <v>8</v>
      </c>
      <c r="G70" s="235">
        <v>67</v>
      </c>
      <c r="H70" s="239"/>
      <c r="I70" s="235" t="s">
        <v>20</v>
      </c>
      <c r="J70" s="310" t="s">
        <v>43</v>
      </c>
      <c r="K70" s="311"/>
      <c r="L70" s="238" t="s">
        <v>542</v>
      </c>
      <c r="M70" s="238" t="s">
        <v>513</v>
      </c>
      <c r="N70" s="311" t="s">
        <v>24</v>
      </c>
      <c r="O70" s="312" t="s">
        <v>407</v>
      </c>
      <c r="P70" s="238" t="s">
        <v>512</v>
      </c>
      <c r="Q70" s="236"/>
      <c r="R70" s="236"/>
      <c r="S70" s="242"/>
      <c r="T70" s="242">
        <v>1595</v>
      </c>
      <c r="U70" s="242">
        <v>2075</v>
      </c>
      <c r="V70" s="242">
        <v>2285</v>
      </c>
      <c r="W70" s="242"/>
      <c r="X70" s="242"/>
      <c r="Y70" s="242"/>
      <c r="Z70" s="242">
        <v>9002</v>
      </c>
      <c r="AB70" s="214"/>
    </row>
    <row r="71" spans="1:28" s="50" customFormat="1">
      <c r="A71" s="234" t="s">
        <v>456</v>
      </c>
      <c r="B71" s="235">
        <v>64</v>
      </c>
      <c r="C71" s="235">
        <f t="shared" si="11"/>
        <v>8000</v>
      </c>
      <c r="D71" s="237" t="s">
        <v>25</v>
      </c>
      <c r="E71" s="235">
        <v>0.95</v>
      </c>
      <c r="F71" s="235" t="s">
        <v>8</v>
      </c>
      <c r="G71" s="235">
        <v>67</v>
      </c>
      <c r="H71" s="239"/>
      <c r="I71" s="235" t="s">
        <v>20</v>
      </c>
      <c r="J71" s="310" t="s">
        <v>47</v>
      </c>
      <c r="K71" s="313"/>
      <c r="L71" s="238" t="s">
        <v>542</v>
      </c>
      <c r="M71" s="238" t="s">
        <v>513</v>
      </c>
      <c r="N71" s="311" t="s">
        <v>24</v>
      </c>
      <c r="O71" s="312" t="s">
        <v>407</v>
      </c>
      <c r="P71" s="238" t="s">
        <v>512</v>
      </c>
      <c r="Q71" s="236"/>
      <c r="R71" s="236"/>
      <c r="S71" s="216"/>
      <c r="T71" s="216">
        <v>3190</v>
      </c>
      <c r="U71" s="216">
        <v>4145</v>
      </c>
      <c r="V71" s="216">
        <v>4560</v>
      </c>
      <c r="W71" s="238"/>
      <c r="X71" s="238"/>
      <c r="Y71" s="238"/>
      <c r="Z71" s="242">
        <v>9003</v>
      </c>
      <c r="AB71" s="214"/>
    </row>
    <row r="72" spans="1:28" s="50" customFormat="1">
      <c r="A72" s="234" t="s">
        <v>462</v>
      </c>
      <c r="B72" s="235">
        <v>64</v>
      </c>
      <c r="C72" s="235">
        <f t="shared" si="11"/>
        <v>8000</v>
      </c>
      <c r="D72" s="237" t="s">
        <v>25</v>
      </c>
      <c r="E72" s="235">
        <v>0.95</v>
      </c>
      <c r="F72" s="235" t="s">
        <v>8</v>
      </c>
      <c r="G72" s="235">
        <v>67</v>
      </c>
      <c r="H72" s="239"/>
      <c r="I72" s="235" t="s">
        <v>20</v>
      </c>
      <c r="J72" s="310" t="s">
        <v>51</v>
      </c>
      <c r="K72" s="313"/>
      <c r="L72" s="238" t="s">
        <v>542</v>
      </c>
      <c r="M72" s="238" t="s">
        <v>513</v>
      </c>
      <c r="N72" s="311" t="s">
        <v>24</v>
      </c>
      <c r="O72" s="312" t="s">
        <v>407</v>
      </c>
      <c r="P72" s="238" t="s">
        <v>512</v>
      </c>
      <c r="Q72" s="236"/>
      <c r="R72" s="236"/>
      <c r="S72" s="216"/>
      <c r="T72" s="216">
        <v>3190</v>
      </c>
      <c r="U72" s="216">
        <v>4145</v>
      </c>
      <c r="V72" s="216">
        <v>4560</v>
      </c>
      <c r="W72" s="238"/>
      <c r="X72" s="238"/>
      <c r="Y72" s="238"/>
      <c r="Z72" s="242">
        <v>9004</v>
      </c>
      <c r="AB72" s="214"/>
    </row>
    <row r="73" spans="1:28" s="50" customFormat="1">
      <c r="A73" s="234" t="s">
        <v>474</v>
      </c>
      <c r="B73" s="235">
        <v>64</v>
      </c>
      <c r="C73" s="235">
        <f t="shared" si="11"/>
        <v>8000</v>
      </c>
      <c r="D73" s="237" t="s">
        <v>25</v>
      </c>
      <c r="E73" s="235">
        <v>0.95</v>
      </c>
      <c r="F73" s="235" t="s">
        <v>19</v>
      </c>
      <c r="G73" s="235">
        <v>67</v>
      </c>
      <c r="H73" s="239"/>
      <c r="I73" s="235" t="s">
        <v>20</v>
      </c>
      <c r="J73" s="310" t="s">
        <v>59</v>
      </c>
      <c r="K73" s="313"/>
      <c r="L73" s="238" t="s">
        <v>542</v>
      </c>
      <c r="M73" s="238" t="s">
        <v>513</v>
      </c>
      <c r="N73" s="311" t="s">
        <v>24</v>
      </c>
      <c r="O73" s="312" t="s">
        <v>407</v>
      </c>
      <c r="P73" s="238" t="s">
        <v>512</v>
      </c>
      <c r="Q73" s="236"/>
      <c r="R73" s="236"/>
      <c r="S73" s="216"/>
      <c r="T73" s="216">
        <v>3190</v>
      </c>
      <c r="U73" s="216">
        <v>4145</v>
      </c>
      <c r="V73" s="216">
        <v>4560</v>
      </c>
      <c r="W73" s="238"/>
      <c r="X73" s="238"/>
      <c r="Y73" s="238"/>
      <c r="Z73" s="242">
        <v>9005</v>
      </c>
      <c r="AB73" s="214"/>
    </row>
    <row r="74" spans="1:28" s="50" customFormat="1">
      <c r="A74" s="234" t="s">
        <v>468</v>
      </c>
      <c r="B74" s="235">
        <v>64</v>
      </c>
      <c r="C74" s="235">
        <f t="shared" si="11"/>
        <v>8000</v>
      </c>
      <c r="D74" s="237" t="s">
        <v>25</v>
      </c>
      <c r="E74" s="235">
        <v>0.95</v>
      </c>
      <c r="F74" s="235" t="s">
        <v>19</v>
      </c>
      <c r="G74" s="235">
        <v>67</v>
      </c>
      <c r="H74" s="239"/>
      <c r="I74" s="235" t="s">
        <v>20</v>
      </c>
      <c r="J74" s="238" t="s">
        <v>55</v>
      </c>
      <c r="K74" s="313"/>
      <c r="L74" s="238" t="s">
        <v>542</v>
      </c>
      <c r="M74" s="238" t="s">
        <v>513</v>
      </c>
      <c r="N74" s="311" t="s">
        <v>24</v>
      </c>
      <c r="O74" s="312" t="s">
        <v>407</v>
      </c>
      <c r="P74" s="238" t="s">
        <v>512</v>
      </c>
      <c r="Q74" s="236"/>
      <c r="R74" s="236"/>
      <c r="S74" s="216"/>
      <c r="T74" s="216">
        <v>3190</v>
      </c>
      <c r="U74" s="216">
        <v>4145</v>
      </c>
      <c r="V74" s="216">
        <v>4560</v>
      </c>
      <c r="W74" s="238"/>
      <c r="X74" s="238"/>
      <c r="Y74" s="238"/>
      <c r="Z74" s="242">
        <v>9006</v>
      </c>
      <c r="AB74" s="214"/>
    </row>
    <row r="75" spans="1:28" s="50" customFormat="1">
      <c r="A75" s="234" t="s">
        <v>445</v>
      </c>
      <c r="B75" s="235">
        <v>48</v>
      </c>
      <c r="C75" s="235">
        <f t="shared" si="11"/>
        <v>6000</v>
      </c>
      <c r="D75" s="237" t="s">
        <v>25</v>
      </c>
      <c r="E75" s="235">
        <v>0.95</v>
      </c>
      <c r="F75" s="235" t="s">
        <v>8</v>
      </c>
      <c r="G75" s="235">
        <v>67</v>
      </c>
      <c r="H75" s="239"/>
      <c r="I75" s="235" t="s">
        <v>20</v>
      </c>
      <c r="J75" s="310" t="s">
        <v>40</v>
      </c>
      <c r="K75" s="311"/>
      <c r="L75" s="238" t="s">
        <v>542</v>
      </c>
      <c r="M75" s="238" t="s">
        <v>513</v>
      </c>
      <c r="N75" s="311" t="s">
        <v>24</v>
      </c>
      <c r="O75" s="312" t="s">
        <v>407</v>
      </c>
      <c r="P75" s="238" t="s">
        <v>512</v>
      </c>
      <c r="Q75" s="236"/>
      <c r="R75" s="236"/>
      <c r="S75" s="242"/>
      <c r="T75" s="242">
        <v>1925</v>
      </c>
      <c r="U75" s="242">
        <v>2505</v>
      </c>
      <c r="V75" s="242">
        <v>2755</v>
      </c>
      <c r="W75" s="238"/>
      <c r="X75" s="238"/>
      <c r="Y75" s="238"/>
      <c r="Z75" s="242">
        <v>9007</v>
      </c>
      <c r="AB75" s="214"/>
    </row>
    <row r="76" spans="1:28" s="50" customFormat="1">
      <c r="A76" s="234" t="s">
        <v>451</v>
      </c>
      <c r="B76" s="235">
        <v>48</v>
      </c>
      <c r="C76" s="235">
        <f t="shared" si="11"/>
        <v>6000</v>
      </c>
      <c r="D76" s="237" t="s">
        <v>25</v>
      </c>
      <c r="E76" s="235">
        <v>0.95</v>
      </c>
      <c r="F76" s="235" t="s">
        <v>8</v>
      </c>
      <c r="G76" s="235">
        <v>67</v>
      </c>
      <c r="H76" s="239"/>
      <c r="I76" s="235" t="s">
        <v>20</v>
      </c>
      <c r="J76" s="310" t="s">
        <v>44</v>
      </c>
      <c r="K76" s="311"/>
      <c r="L76" s="238" t="s">
        <v>542</v>
      </c>
      <c r="M76" s="238" t="s">
        <v>513</v>
      </c>
      <c r="N76" s="311" t="s">
        <v>24</v>
      </c>
      <c r="O76" s="312" t="s">
        <v>407</v>
      </c>
      <c r="P76" s="238" t="s">
        <v>512</v>
      </c>
      <c r="Q76" s="236"/>
      <c r="R76" s="236"/>
      <c r="S76" s="242"/>
      <c r="T76" s="242">
        <v>1925</v>
      </c>
      <c r="U76" s="242">
        <v>2505</v>
      </c>
      <c r="V76" s="242">
        <v>2755</v>
      </c>
      <c r="W76" s="238"/>
      <c r="X76" s="238"/>
      <c r="Y76" s="238"/>
      <c r="Z76" s="242">
        <v>9008</v>
      </c>
      <c r="AB76" s="214"/>
    </row>
    <row r="77" spans="1:28" s="50" customFormat="1">
      <c r="A77" s="234" t="s">
        <v>457</v>
      </c>
      <c r="B77" s="235">
        <v>96</v>
      </c>
      <c r="C77" s="235">
        <f t="shared" si="11"/>
        <v>12000</v>
      </c>
      <c r="D77" s="237" t="s">
        <v>25</v>
      </c>
      <c r="E77" s="235">
        <v>0.95</v>
      </c>
      <c r="F77" s="235" t="s">
        <v>8</v>
      </c>
      <c r="G77" s="235">
        <v>67</v>
      </c>
      <c r="H77" s="239"/>
      <c r="I77" s="235" t="s">
        <v>20</v>
      </c>
      <c r="J77" s="310" t="s">
        <v>48</v>
      </c>
      <c r="K77" s="313"/>
      <c r="L77" s="238" t="s">
        <v>542</v>
      </c>
      <c r="M77" s="238" t="s">
        <v>513</v>
      </c>
      <c r="N77" s="311" t="s">
        <v>24</v>
      </c>
      <c r="O77" s="312" t="s">
        <v>407</v>
      </c>
      <c r="P77" s="238" t="s">
        <v>512</v>
      </c>
      <c r="Q77" s="236"/>
      <c r="R77" s="236"/>
      <c r="S77" s="216"/>
      <c r="T77" s="216">
        <v>3850</v>
      </c>
      <c r="U77" s="216">
        <v>5005</v>
      </c>
      <c r="V77" s="216">
        <v>5505</v>
      </c>
      <c r="W77" s="238"/>
      <c r="X77" s="238"/>
      <c r="Y77" s="238"/>
      <c r="Z77" s="242">
        <v>9009</v>
      </c>
      <c r="AB77" s="214"/>
    </row>
    <row r="78" spans="1:28" s="50" customFormat="1">
      <c r="A78" s="234" t="s">
        <v>463</v>
      </c>
      <c r="B78" s="235">
        <v>96</v>
      </c>
      <c r="C78" s="235">
        <f t="shared" si="11"/>
        <v>12000</v>
      </c>
      <c r="D78" s="237" t="s">
        <v>25</v>
      </c>
      <c r="E78" s="235">
        <v>0.95</v>
      </c>
      <c r="F78" s="235" t="s">
        <v>8</v>
      </c>
      <c r="G78" s="235">
        <v>67</v>
      </c>
      <c r="H78" s="239"/>
      <c r="I78" s="235" t="s">
        <v>20</v>
      </c>
      <c r="J78" s="310" t="s">
        <v>52</v>
      </c>
      <c r="K78" s="313"/>
      <c r="L78" s="238" t="s">
        <v>542</v>
      </c>
      <c r="M78" s="238" t="s">
        <v>513</v>
      </c>
      <c r="N78" s="311" t="s">
        <v>24</v>
      </c>
      <c r="O78" s="312" t="s">
        <v>407</v>
      </c>
      <c r="P78" s="238" t="s">
        <v>512</v>
      </c>
      <c r="Q78" s="236"/>
      <c r="R78" s="236"/>
      <c r="S78" s="216"/>
      <c r="T78" s="216">
        <v>3850</v>
      </c>
      <c r="U78" s="216">
        <v>5005</v>
      </c>
      <c r="V78" s="216">
        <v>5505</v>
      </c>
      <c r="W78" s="238"/>
      <c r="X78" s="238"/>
      <c r="Y78" s="238"/>
      <c r="Z78" s="242">
        <v>9010</v>
      </c>
      <c r="AB78" s="214"/>
    </row>
    <row r="79" spans="1:28" s="50" customFormat="1">
      <c r="A79" s="234" t="s">
        <v>475</v>
      </c>
      <c r="B79" s="235">
        <v>96</v>
      </c>
      <c r="C79" s="235">
        <f t="shared" si="11"/>
        <v>12000</v>
      </c>
      <c r="D79" s="237" t="s">
        <v>25</v>
      </c>
      <c r="E79" s="235">
        <v>0.95</v>
      </c>
      <c r="F79" s="241" t="s">
        <v>19</v>
      </c>
      <c r="G79" s="235">
        <v>67</v>
      </c>
      <c r="H79" s="239"/>
      <c r="I79" s="235" t="s">
        <v>20</v>
      </c>
      <c r="J79" s="310" t="s">
        <v>60</v>
      </c>
      <c r="K79" s="313"/>
      <c r="L79" s="238" t="s">
        <v>542</v>
      </c>
      <c r="M79" s="238" t="s">
        <v>513</v>
      </c>
      <c r="N79" s="311" t="s">
        <v>24</v>
      </c>
      <c r="O79" s="312" t="s">
        <v>407</v>
      </c>
      <c r="P79" s="238" t="s">
        <v>512</v>
      </c>
      <c r="Q79" s="236"/>
      <c r="R79" s="236"/>
      <c r="S79" s="216"/>
      <c r="T79" s="216">
        <v>3850</v>
      </c>
      <c r="U79" s="216">
        <v>5005</v>
      </c>
      <c r="V79" s="216">
        <v>5505</v>
      </c>
      <c r="W79" s="238"/>
      <c r="X79" s="238"/>
      <c r="Y79" s="238"/>
      <c r="Z79" s="242">
        <v>9011</v>
      </c>
      <c r="AB79" s="214"/>
    </row>
    <row r="80" spans="1:28" s="50" customFormat="1">
      <c r="A80" s="234" t="s">
        <v>469</v>
      </c>
      <c r="B80" s="235">
        <v>96</v>
      </c>
      <c r="C80" s="235">
        <f t="shared" si="11"/>
        <v>12000</v>
      </c>
      <c r="D80" s="237" t="s">
        <v>25</v>
      </c>
      <c r="E80" s="235">
        <v>0.95</v>
      </c>
      <c r="F80" s="235" t="s">
        <v>19</v>
      </c>
      <c r="G80" s="235">
        <v>67</v>
      </c>
      <c r="H80" s="239"/>
      <c r="I80" s="235" t="s">
        <v>20</v>
      </c>
      <c r="J80" s="238" t="s">
        <v>56</v>
      </c>
      <c r="K80" s="313"/>
      <c r="L80" s="238" t="s">
        <v>542</v>
      </c>
      <c r="M80" s="238" t="s">
        <v>513</v>
      </c>
      <c r="N80" s="311" t="s">
        <v>24</v>
      </c>
      <c r="O80" s="312" t="s">
        <v>407</v>
      </c>
      <c r="P80" s="238" t="s">
        <v>512</v>
      </c>
      <c r="Q80" s="236"/>
      <c r="R80" s="236"/>
      <c r="S80" s="216"/>
      <c r="T80" s="216">
        <v>3850</v>
      </c>
      <c r="U80" s="216">
        <v>5005</v>
      </c>
      <c r="V80" s="216">
        <v>5505</v>
      </c>
      <c r="W80" s="238"/>
      <c r="X80" s="238"/>
      <c r="Y80" s="238"/>
      <c r="Z80" s="242">
        <v>9012</v>
      </c>
      <c r="AB80" s="214"/>
    </row>
    <row r="81" spans="1:28" s="50" customFormat="1">
      <c r="A81" s="234" t="s">
        <v>446</v>
      </c>
      <c r="B81" s="235">
        <v>62</v>
      </c>
      <c r="C81" s="235">
        <f t="shared" si="11"/>
        <v>7750</v>
      </c>
      <c r="D81" s="237" t="s">
        <v>25</v>
      </c>
      <c r="E81" s="235">
        <v>0.95</v>
      </c>
      <c r="F81" s="235" t="s">
        <v>8</v>
      </c>
      <c r="G81" s="235">
        <v>67</v>
      </c>
      <c r="H81" s="239"/>
      <c r="I81" s="235" t="s">
        <v>20</v>
      </c>
      <c r="J81" s="310" t="s">
        <v>41</v>
      </c>
      <c r="K81" s="311"/>
      <c r="L81" s="238" t="s">
        <v>542</v>
      </c>
      <c r="M81" s="238" t="s">
        <v>513</v>
      </c>
      <c r="N81" s="311" t="s">
        <v>24</v>
      </c>
      <c r="O81" s="312" t="s">
        <v>407</v>
      </c>
      <c r="P81" s="238" t="s">
        <v>512</v>
      </c>
      <c r="Q81" s="236"/>
      <c r="R81" s="236"/>
      <c r="S81" s="242"/>
      <c r="T81" s="242">
        <v>2200</v>
      </c>
      <c r="U81" s="242">
        <v>2860</v>
      </c>
      <c r="V81" s="242">
        <v>3145</v>
      </c>
      <c r="W81" s="238"/>
      <c r="X81" s="238"/>
      <c r="Y81" s="238"/>
      <c r="Z81" s="242">
        <v>9013</v>
      </c>
      <c r="AB81" s="214"/>
    </row>
    <row r="82" spans="1:28" s="50" customFormat="1">
      <c r="A82" s="234" t="s">
        <v>452</v>
      </c>
      <c r="B82" s="235">
        <v>62</v>
      </c>
      <c r="C82" s="235">
        <f t="shared" si="11"/>
        <v>7750</v>
      </c>
      <c r="D82" s="237" t="s">
        <v>25</v>
      </c>
      <c r="E82" s="235">
        <v>0.95</v>
      </c>
      <c r="F82" s="235" t="s">
        <v>8</v>
      </c>
      <c r="G82" s="235">
        <v>67</v>
      </c>
      <c r="H82" s="239"/>
      <c r="I82" s="235" t="s">
        <v>20</v>
      </c>
      <c r="J82" s="310" t="s">
        <v>45</v>
      </c>
      <c r="K82" s="311"/>
      <c r="L82" s="238" t="s">
        <v>542</v>
      </c>
      <c r="M82" s="238" t="s">
        <v>513</v>
      </c>
      <c r="N82" s="311" t="s">
        <v>24</v>
      </c>
      <c r="O82" s="312" t="s">
        <v>407</v>
      </c>
      <c r="P82" s="238" t="s">
        <v>512</v>
      </c>
      <c r="Q82" s="236"/>
      <c r="R82" s="236"/>
      <c r="S82" s="242"/>
      <c r="T82" s="242">
        <v>2200</v>
      </c>
      <c r="U82" s="242">
        <v>2860</v>
      </c>
      <c r="V82" s="242">
        <v>3145</v>
      </c>
      <c r="W82" s="238"/>
      <c r="X82" s="238"/>
      <c r="Y82" s="238"/>
      <c r="Z82" s="242">
        <v>9014</v>
      </c>
      <c r="AB82" s="214"/>
    </row>
    <row r="83" spans="1:28" s="50" customFormat="1">
      <c r="A83" s="234" t="s">
        <v>458</v>
      </c>
      <c r="B83" s="235">
        <v>124</v>
      </c>
      <c r="C83" s="235">
        <f t="shared" si="11"/>
        <v>15500</v>
      </c>
      <c r="D83" s="237" t="s">
        <v>25</v>
      </c>
      <c r="E83" s="235">
        <v>0.95</v>
      </c>
      <c r="F83" s="235" t="s">
        <v>8</v>
      </c>
      <c r="G83" s="235">
        <v>67</v>
      </c>
      <c r="H83" s="239"/>
      <c r="I83" s="235" t="s">
        <v>20</v>
      </c>
      <c r="J83" s="310" t="s">
        <v>49</v>
      </c>
      <c r="K83" s="313"/>
      <c r="L83" s="238" t="s">
        <v>542</v>
      </c>
      <c r="M83" s="238" t="s">
        <v>513</v>
      </c>
      <c r="N83" s="311" t="s">
        <v>24</v>
      </c>
      <c r="O83" s="312" t="s">
        <v>407</v>
      </c>
      <c r="P83" s="238" t="s">
        <v>512</v>
      </c>
      <c r="Q83" s="236"/>
      <c r="R83" s="236"/>
      <c r="S83" s="216"/>
      <c r="T83" s="216">
        <v>4400</v>
      </c>
      <c r="U83" s="216">
        <v>5720</v>
      </c>
      <c r="V83" s="216">
        <v>6290</v>
      </c>
      <c r="W83" s="238"/>
      <c r="X83" s="238"/>
      <c r="Y83" s="238"/>
      <c r="Z83" s="242">
        <v>9015</v>
      </c>
      <c r="AB83" s="214"/>
    </row>
    <row r="84" spans="1:28" s="50" customFormat="1">
      <c r="A84" s="234" t="s">
        <v>464</v>
      </c>
      <c r="B84" s="235">
        <v>124</v>
      </c>
      <c r="C84" s="235">
        <f t="shared" si="11"/>
        <v>15500</v>
      </c>
      <c r="D84" s="237" t="s">
        <v>25</v>
      </c>
      <c r="E84" s="235">
        <v>0.95</v>
      </c>
      <c r="F84" s="235" t="s">
        <v>8</v>
      </c>
      <c r="G84" s="235">
        <v>67</v>
      </c>
      <c r="H84" s="239"/>
      <c r="I84" s="235" t="s">
        <v>20</v>
      </c>
      <c r="J84" s="310" t="s">
        <v>53</v>
      </c>
      <c r="K84" s="313"/>
      <c r="L84" s="238" t="s">
        <v>542</v>
      </c>
      <c r="M84" s="238" t="s">
        <v>513</v>
      </c>
      <c r="N84" s="311" t="s">
        <v>24</v>
      </c>
      <c r="O84" s="312" t="s">
        <v>407</v>
      </c>
      <c r="P84" s="238" t="s">
        <v>512</v>
      </c>
      <c r="Q84" s="236"/>
      <c r="R84" s="236"/>
      <c r="S84" s="216"/>
      <c r="T84" s="216">
        <v>4400</v>
      </c>
      <c r="U84" s="216">
        <v>5720</v>
      </c>
      <c r="V84" s="216">
        <v>6290</v>
      </c>
      <c r="W84" s="238"/>
      <c r="X84" s="238"/>
      <c r="Y84" s="238"/>
      <c r="Z84" s="242">
        <v>9016</v>
      </c>
      <c r="AB84" s="214"/>
    </row>
    <row r="85" spans="1:28" s="50" customFormat="1">
      <c r="A85" s="234" t="s">
        <v>476</v>
      </c>
      <c r="B85" s="235">
        <v>124</v>
      </c>
      <c r="C85" s="235">
        <f t="shared" si="11"/>
        <v>15500</v>
      </c>
      <c r="D85" s="237" t="s">
        <v>25</v>
      </c>
      <c r="E85" s="235">
        <v>0.95</v>
      </c>
      <c r="F85" s="235" t="s">
        <v>19</v>
      </c>
      <c r="G85" s="235">
        <v>67</v>
      </c>
      <c r="H85" s="239"/>
      <c r="I85" s="235" t="s">
        <v>20</v>
      </c>
      <c r="J85" s="310" t="s">
        <v>61</v>
      </c>
      <c r="K85" s="313"/>
      <c r="L85" s="238" t="s">
        <v>542</v>
      </c>
      <c r="M85" s="238" t="s">
        <v>513</v>
      </c>
      <c r="N85" s="311" t="s">
        <v>24</v>
      </c>
      <c r="O85" s="312" t="s">
        <v>407</v>
      </c>
      <c r="P85" s="238" t="s">
        <v>512</v>
      </c>
      <c r="Q85" s="236"/>
      <c r="R85" s="236"/>
      <c r="S85" s="216"/>
      <c r="T85" s="216">
        <v>4400</v>
      </c>
      <c r="U85" s="216">
        <v>5720</v>
      </c>
      <c r="V85" s="216">
        <v>6290</v>
      </c>
      <c r="W85" s="238"/>
      <c r="X85" s="238"/>
      <c r="Y85" s="238"/>
      <c r="Z85" s="242">
        <v>9017</v>
      </c>
      <c r="AB85" s="214"/>
    </row>
    <row r="86" spans="1:28" s="50" customFormat="1">
      <c r="A86" s="234" t="s">
        <v>470</v>
      </c>
      <c r="B86" s="235">
        <v>124</v>
      </c>
      <c r="C86" s="235">
        <f t="shared" si="11"/>
        <v>15500</v>
      </c>
      <c r="D86" s="237" t="s">
        <v>25</v>
      </c>
      <c r="E86" s="235">
        <v>0.95</v>
      </c>
      <c r="F86" s="235" t="s">
        <v>19</v>
      </c>
      <c r="G86" s="235">
        <v>67</v>
      </c>
      <c r="H86" s="239"/>
      <c r="I86" s="235" t="s">
        <v>20</v>
      </c>
      <c r="J86" s="238" t="s">
        <v>57</v>
      </c>
      <c r="K86" s="313"/>
      <c r="L86" s="238" t="s">
        <v>542</v>
      </c>
      <c r="M86" s="238" t="s">
        <v>513</v>
      </c>
      <c r="N86" s="311" t="s">
        <v>24</v>
      </c>
      <c r="O86" s="312" t="s">
        <v>407</v>
      </c>
      <c r="P86" s="238" t="s">
        <v>512</v>
      </c>
      <c r="Q86" s="236"/>
      <c r="R86" s="236"/>
      <c r="S86" s="216"/>
      <c r="T86" s="216">
        <v>4400</v>
      </c>
      <c r="U86" s="216">
        <v>5720</v>
      </c>
      <c r="V86" s="216">
        <v>6290</v>
      </c>
      <c r="W86" s="238"/>
      <c r="X86" s="238"/>
      <c r="Y86" s="238"/>
      <c r="Z86" s="242">
        <v>9018</v>
      </c>
      <c r="AB86" s="214"/>
    </row>
    <row r="87" spans="1:28" s="50" customFormat="1">
      <c r="A87" s="234" t="s">
        <v>447</v>
      </c>
      <c r="B87" s="235">
        <v>80</v>
      </c>
      <c r="C87" s="235">
        <f t="shared" si="11"/>
        <v>10000</v>
      </c>
      <c r="D87" s="237" t="s">
        <v>25</v>
      </c>
      <c r="E87" s="235">
        <v>0.95</v>
      </c>
      <c r="F87" s="235" t="s">
        <v>8</v>
      </c>
      <c r="G87" s="235">
        <v>67</v>
      </c>
      <c r="H87" s="239"/>
      <c r="I87" s="235" t="s">
        <v>20</v>
      </c>
      <c r="J87" s="310" t="s">
        <v>376</v>
      </c>
      <c r="K87" s="313"/>
      <c r="L87" s="238" t="s">
        <v>542</v>
      </c>
      <c r="M87" s="238" t="s">
        <v>513</v>
      </c>
      <c r="N87" s="311" t="s">
        <v>24</v>
      </c>
      <c r="O87" s="312" t="s">
        <v>407</v>
      </c>
      <c r="P87" s="238" t="s">
        <v>512</v>
      </c>
      <c r="Q87" s="236"/>
      <c r="R87" s="236"/>
      <c r="S87" s="242"/>
      <c r="T87" s="242">
        <v>3245</v>
      </c>
      <c r="U87" s="242">
        <v>4220</v>
      </c>
      <c r="V87" s="242">
        <v>4640</v>
      </c>
      <c r="W87" s="238"/>
      <c r="X87" s="238"/>
      <c r="Y87" s="238"/>
      <c r="Z87" s="242">
        <v>9019</v>
      </c>
      <c r="AB87" s="214"/>
    </row>
    <row r="88" spans="1:28" s="50" customFormat="1">
      <c r="A88" s="234" t="s">
        <v>453</v>
      </c>
      <c r="B88" s="235">
        <v>80</v>
      </c>
      <c r="C88" s="235">
        <f t="shared" si="11"/>
        <v>10000</v>
      </c>
      <c r="D88" s="237" t="s">
        <v>25</v>
      </c>
      <c r="E88" s="235">
        <v>0.95</v>
      </c>
      <c r="F88" s="235" t="s">
        <v>8</v>
      </c>
      <c r="G88" s="235">
        <v>67</v>
      </c>
      <c r="H88" s="239"/>
      <c r="I88" s="235" t="s">
        <v>20</v>
      </c>
      <c r="J88" s="310" t="s">
        <v>377</v>
      </c>
      <c r="K88" s="313"/>
      <c r="L88" s="238" t="s">
        <v>542</v>
      </c>
      <c r="M88" s="238" t="s">
        <v>513</v>
      </c>
      <c r="N88" s="311" t="s">
        <v>24</v>
      </c>
      <c r="O88" s="312" t="s">
        <v>407</v>
      </c>
      <c r="P88" s="238" t="s">
        <v>512</v>
      </c>
      <c r="Q88" s="236"/>
      <c r="R88" s="236"/>
      <c r="S88" s="242"/>
      <c r="T88" s="242">
        <v>3245</v>
      </c>
      <c r="U88" s="242">
        <v>4220</v>
      </c>
      <c r="V88" s="242">
        <v>4640</v>
      </c>
      <c r="W88" s="238"/>
      <c r="X88" s="238"/>
      <c r="Y88" s="238"/>
      <c r="Z88" s="242">
        <v>9020</v>
      </c>
      <c r="AB88" s="214"/>
    </row>
    <row r="89" spans="1:28" s="50" customFormat="1">
      <c r="A89" s="234" t="s">
        <v>459</v>
      </c>
      <c r="B89" s="235">
        <v>160</v>
      </c>
      <c r="C89" s="235">
        <f t="shared" si="11"/>
        <v>20000</v>
      </c>
      <c r="D89" s="237" t="s">
        <v>25</v>
      </c>
      <c r="E89" s="235">
        <v>0.95</v>
      </c>
      <c r="F89" s="235" t="s">
        <v>8</v>
      </c>
      <c r="G89" s="235">
        <v>67</v>
      </c>
      <c r="H89" s="239"/>
      <c r="I89" s="235" t="s">
        <v>20</v>
      </c>
      <c r="J89" s="310" t="s">
        <v>378</v>
      </c>
      <c r="K89" s="313"/>
      <c r="L89" s="238" t="s">
        <v>542</v>
      </c>
      <c r="M89" s="238" t="s">
        <v>513</v>
      </c>
      <c r="N89" s="311" t="s">
        <v>24</v>
      </c>
      <c r="O89" s="312" t="s">
        <v>407</v>
      </c>
      <c r="P89" s="238" t="s">
        <v>512</v>
      </c>
      <c r="Q89" s="236"/>
      <c r="R89" s="236"/>
      <c r="S89" s="216"/>
      <c r="T89" s="216">
        <v>6490</v>
      </c>
      <c r="U89" s="216">
        <v>8435</v>
      </c>
      <c r="V89" s="216">
        <v>9280</v>
      </c>
      <c r="W89" s="238"/>
      <c r="X89" s="238"/>
      <c r="Y89" s="238"/>
      <c r="Z89" s="242">
        <v>9021</v>
      </c>
      <c r="AB89" s="214"/>
    </row>
    <row r="90" spans="1:28" s="50" customFormat="1">
      <c r="A90" s="234" t="s">
        <v>465</v>
      </c>
      <c r="B90" s="235">
        <v>160</v>
      </c>
      <c r="C90" s="235">
        <f t="shared" si="11"/>
        <v>20000</v>
      </c>
      <c r="D90" s="237" t="s">
        <v>25</v>
      </c>
      <c r="E90" s="235">
        <v>0.95</v>
      </c>
      <c r="F90" s="235" t="s">
        <v>8</v>
      </c>
      <c r="G90" s="235">
        <v>67</v>
      </c>
      <c r="H90" s="239"/>
      <c r="I90" s="235" t="s">
        <v>20</v>
      </c>
      <c r="J90" s="310" t="s">
        <v>379</v>
      </c>
      <c r="K90" s="313"/>
      <c r="L90" s="238" t="s">
        <v>542</v>
      </c>
      <c r="M90" s="238" t="s">
        <v>513</v>
      </c>
      <c r="N90" s="311" t="s">
        <v>24</v>
      </c>
      <c r="O90" s="312" t="s">
        <v>407</v>
      </c>
      <c r="P90" s="238" t="s">
        <v>512</v>
      </c>
      <c r="Q90" s="236"/>
      <c r="R90" s="236"/>
      <c r="S90" s="216"/>
      <c r="T90" s="216">
        <v>6490</v>
      </c>
      <c r="U90" s="216">
        <v>8435</v>
      </c>
      <c r="V90" s="216">
        <v>9280</v>
      </c>
      <c r="W90" s="238"/>
      <c r="X90" s="238"/>
      <c r="Y90" s="238"/>
      <c r="Z90" s="242">
        <v>9022</v>
      </c>
      <c r="AB90" s="214"/>
    </row>
    <row r="91" spans="1:28" s="50" customFormat="1">
      <c r="A91" s="234" t="s">
        <v>471</v>
      </c>
      <c r="B91" s="235">
        <v>160</v>
      </c>
      <c r="C91" s="235">
        <f t="shared" si="11"/>
        <v>20000</v>
      </c>
      <c r="D91" s="237" t="s">
        <v>25</v>
      </c>
      <c r="E91" s="235">
        <v>0.95</v>
      </c>
      <c r="F91" s="235" t="s">
        <v>19</v>
      </c>
      <c r="G91" s="235">
        <v>67</v>
      </c>
      <c r="H91" s="239"/>
      <c r="I91" s="235" t="s">
        <v>20</v>
      </c>
      <c r="J91" s="310" t="s">
        <v>380</v>
      </c>
      <c r="K91" s="313"/>
      <c r="L91" s="238" t="s">
        <v>542</v>
      </c>
      <c r="M91" s="238" t="s">
        <v>513</v>
      </c>
      <c r="N91" s="311" t="s">
        <v>24</v>
      </c>
      <c r="O91" s="312" t="s">
        <v>407</v>
      </c>
      <c r="P91" s="238" t="s">
        <v>512</v>
      </c>
      <c r="Q91" s="236"/>
      <c r="R91" s="236"/>
      <c r="S91" s="216"/>
      <c r="T91" s="216">
        <v>6490</v>
      </c>
      <c r="U91" s="216">
        <v>8435</v>
      </c>
      <c r="V91" s="216">
        <v>9280</v>
      </c>
      <c r="W91" s="238"/>
      <c r="X91" s="238"/>
      <c r="Y91" s="238"/>
      <c r="Z91" s="242">
        <v>9023</v>
      </c>
      <c r="AB91" s="214"/>
    </row>
    <row r="92" spans="1:28" s="50" customFormat="1">
      <c r="A92" s="234" t="s">
        <v>477</v>
      </c>
      <c r="B92" s="235">
        <v>160</v>
      </c>
      <c r="C92" s="235">
        <f t="shared" si="11"/>
        <v>20000</v>
      </c>
      <c r="D92" s="237" t="s">
        <v>25</v>
      </c>
      <c r="E92" s="235">
        <v>0.95</v>
      </c>
      <c r="F92" s="235" t="s">
        <v>19</v>
      </c>
      <c r="G92" s="235">
        <v>67</v>
      </c>
      <c r="H92" s="239"/>
      <c r="I92" s="235" t="s">
        <v>20</v>
      </c>
      <c r="J92" s="310" t="s">
        <v>381</v>
      </c>
      <c r="K92" s="313"/>
      <c r="L92" s="238" t="s">
        <v>542</v>
      </c>
      <c r="M92" s="238" t="s">
        <v>513</v>
      </c>
      <c r="N92" s="311" t="s">
        <v>24</v>
      </c>
      <c r="O92" s="312" t="s">
        <v>407</v>
      </c>
      <c r="P92" s="238" t="s">
        <v>512</v>
      </c>
      <c r="Q92" s="236"/>
      <c r="R92" s="236"/>
      <c r="S92" s="216"/>
      <c r="T92" s="216">
        <v>6490</v>
      </c>
      <c r="U92" s="216">
        <v>8435</v>
      </c>
      <c r="V92" s="216">
        <v>9280</v>
      </c>
      <c r="W92" s="238"/>
      <c r="X92" s="238"/>
      <c r="Y92" s="238"/>
      <c r="Z92" s="242">
        <v>9024</v>
      </c>
      <c r="AB92" s="214"/>
    </row>
    <row r="93" spans="1:28" s="50" customFormat="1">
      <c r="A93" s="234" t="s">
        <v>483</v>
      </c>
      <c r="B93" s="235">
        <v>240</v>
      </c>
      <c r="C93" s="235">
        <f t="shared" si="11"/>
        <v>30000</v>
      </c>
      <c r="D93" s="237" t="s">
        <v>25</v>
      </c>
      <c r="E93" s="235">
        <v>0.95</v>
      </c>
      <c r="F93" s="235" t="s">
        <v>8</v>
      </c>
      <c r="G93" s="235">
        <v>67</v>
      </c>
      <c r="H93" s="239"/>
      <c r="I93" s="235" t="s">
        <v>20</v>
      </c>
      <c r="J93" s="310" t="s">
        <v>382</v>
      </c>
      <c r="K93" s="313"/>
      <c r="L93" s="238" t="s">
        <v>542</v>
      </c>
      <c r="M93" s="238" t="s">
        <v>513</v>
      </c>
      <c r="N93" s="311" t="s">
        <v>24</v>
      </c>
      <c r="O93" s="312" t="s">
        <v>407</v>
      </c>
      <c r="P93" s="238" t="s">
        <v>512</v>
      </c>
      <c r="Q93" s="236"/>
      <c r="R93" s="236"/>
      <c r="S93" s="216"/>
      <c r="T93" s="216">
        <v>9735</v>
      </c>
      <c r="U93" s="216">
        <v>12655</v>
      </c>
      <c r="V93" s="216">
        <v>13920</v>
      </c>
      <c r="W93" s="238"/>
      <c r="X93" s="238"/>
      <c r="Y93" s="238"/>
      <c r="Z93" s="242">
        <v>9025</v>
      </c>
      <c r="AB93" s="214"/>
    </row>
    <row r="94" spans="1:28" s="50" customFormat="1">
      <c r="A94" s="234" t="s">
        <v>489</v>
      </c>
      <c r="B94" s="235">
        <v>240</v>
      </c>
      <c r="C94" s="235">
        <f t="shared" si="11"/>
        <v>30000</v>
      </c>
      <c r="D94" s="237" t="s">
        <v>25</v>
      </c>
      <c r="E94" s="235">
        <v>0.95</v>
      </c>
      <c r="F94" s="235" t="s">
        <v>8</v>
      </c>
      <c r="G94" s="235">
        <v>67</v>
      </c>
      <c r="H94" s="239"/>
      <c r="I94" s="235" t="s">
        <v>20</v>
      </c>
      <c r="J94" s="310" t="s">
        <v>383</v>
      </c>
      <c r="K94" s="313"/>
      <c r="L94" s="238" t="s">
        <v>542</v>
      </c>
      <c r="M94" s="238" t="s">
        <v>513</v>
      </c>
      <c r="N94" s="311" t="s">
        <v>24</v>
      </c>
      <c r="O94" s="312" t="s">
        <v>407</v>
      </c>
      <c r="P94" s="238" t="s">
        <v>512</v>
      </c>
      <c r="Q94" s="236"/>
      <c r="R94" s="236"/>
      <c r="S94" s="216"/>
      <c r="T94" s="216">
        <v>9735</v>
      </c>
      <c r="U94" s="216">
        <v>12655</v>
      </c>
      <c r="V94" s="216">
        <v>13920</v>
      </c>
      <c r="W94" s="238"/>
      <c r="X94" s="238"/>
      <c r="Y94" s="238"/>
      <c r="Z94" s="242">
        <v>9026</v>
      </c>
      <c r="AB94" s="214"/>
    </row>
    <row r="95" spans="1:28" s="50" customFormat="1">
      <c r="A95" s="234" t="s">
        <v>495</v>
      </c>
      <c r="B95" s="235">
        <v>240</v>
      </c>
      <c r="C95" s="235">
        <f t="shared" si="11"/>
        <v>30000</v>
      </c>
      <c r="D95" s="237" t="s">
        <v>25</v>
      </c>
      <c r="E95" s="235">
        <v>0.95</v>
      </c>
      <c r="F95" s="235" t="s">
        <v>19</v>
      </c>
      <c r="G95" s="235">
        <v>67</v>
      </c>
      <c r="H95" s="239"/>
      <c r="I95" s="235" t="s">
        <v>20</v>
      </c>
      <c r="J95" s="310" t="s">
        <v>384</v>
      </c>
      <c r="K95" s="313"/>
      <c r="L95" s="238" t="s">
        <v>542</v>
      </c>
      <c r="M95" s="238" t="s">
        <v>513</v>
      </c>
      <c r="N95" s="311" t="s">
        <v>24</v>
      </c>
      <c r="O95" s="312" t="s">
        <v>407</v>
      </c>
      <c r="P95" s="238" t="s">
        <v>512</v>
      </c>
      <c r="Q95" s="236"/>
      <c r="R95" s="236"/>
      <c r="S95" s="216"/>
      <c r="T95" s="216">
        <v>9735</v>
      </c>
      <c r="U95" s="216">
        <v>12655</v>
      </c>
      <c r="V95" s="216">
        <v>13920</v>
      </c>
      <c r="W95" s="238"/>
      <c r="X95" s="238"/>
      <c r="Y95" s="238"/>
      <c r="Z95" s="242">
        <v>9027</v>
      </c>
      <c r="AB95" s="214"/>
    </row>
    <row r="96" spans="1:28" s="50" customFormat="1">
      <c r="A96" s="234" t="s">
        <v>501</v>
      </c>
      <c r="B96" s="235">
        <v>240</v>
      </c>
      <c r="C96" s="235">
        <f t="shared" si="11"/>
        <v>30000</v>
      </c>
      <c r="D96" s="237" t="s">
        <v>25</v>
      </c>
      <c r="E96" s="235">
        <v>0.95</v>
      </c>
      <c r="F96" s="235" t="s">
        <v>19</v>
      </c>
      <c r="G96" s="235">
        <v>67</v>
      </c>
      <c r="H96" s="239"/>
      <c r="I96" s="235" t="s">
        <v>20</v>
      </c>
      <c r="J96" s="310" t="s">
        <v>385</v>
      </c>
      <c r="K96" s="313"/>
      <c r="L96" s="238" t="s">
        <v>542</v>
      </c>
      <c r="M96" s="238" t="s">
        <v>513</v>
      </c>
      <c r="N96" s="311" t="s">
        <v>24</v>
      </c>
      <c r="O96" s="312" t="s">
        <v>407</v>
      </c>
      <c r="P96" s="238" t="s">
        <v>512</v>
      </c>
      <c r="Q96" s="236"/>
      <c r="R96" s="236"/>
      <c r="S96" s="216"/>
      <c r="T96" s="216">
        <v>9735</v>
      </c>
      <c r="U96" s="216">
        <v>12655</v>
      </c>
      <c r="V96" s="216">
        <v>13920</v>
      </c>
      <c r="W96" s="238"/>
      <c r="X96" s="238"/>
      <c r="Y96" s="238"/>
      <c r="Z96" s="242">
        <v>9028</v>
      </c>
      <c r="AB96" s="214"/>
    </row>
    <row r="97" spans="1:28" s="50" customFormat="1">
      <c r="A97" s="234" t="s">
        <v>448</v>
      </c>
      <c r="B97" s="235">
        <v>96</v>
      </c>
      <c r="C97" s="235">
        <f t="shared" si="11"/>
        <v>12000</v>
      </c>
      <c r="D97" s="237" t="s">
        <v>25</v>
      </c>
      <c r="E97" s="235">
        <v>0.95</v>
      </c>
      <c r="F97" s="235" t="s">
        <v>8</v>
      </c>
      <c r="G97" s="235">
        <v>67</v>
      </c>
      <c r="H97" s="239"/>
      <c r="I97" s="235" t="s">
        <v>20</v>
      </c>
      <c r="J97" s="310" t="s">
        <v>42</v>
      </c>
      <c r="K97" s="311"/>
      <c r="L97" s="238" t="s">
        <v>542</v>
      </c>
      <c r="M97" s="238" t="s">
        <v>513</v>
      </c>
      <c r="N97" s="311" t="s">
        <v>24</v>
      </c>
      <c r="O97" s="312" t="s">
        <v>407</v>
      </c>
      <c r="P97" s="238" t="s">
        <v>512</v>
      </c>
      <c r="Q97" s="236"/>
      <c r="R97" s="236"/>
      <c r="S97" s="242"/>
      <c r="T97" s="242">
        <v>3355</v>
      </c>
      <c r="U97" s="242">
        <v>4360</v>
      </c>
      <c r="V97" s="242">
        <v>4795</v>
      </c>
      <c r="W97" s="242"/>
      <c r="X97" s="242"/>
      <c r="Y97" s="238"/>
      <c r="Z97" s="242">
        <v>9029</v>
      </c>
      <c r="AB97" s="214"/>
    </row>
    <row r="98" spans="1:28" s="50" customFormat="1">
      <c r="A98" s="234" t="s">
        <v>454</v>
      </c>
      <c r="B98" s="235">
        <v>96</v>
      </c>
      <c r="C98" s="235">
        <f t="shared" si="11"/>
        <v>12000</v>
      </c>
      <c r="D98" s="237" t="s">
        <v>25</v>
      </c>
      <c r="E98" s="235">
        <v>0.95</v>
      </c>
      <c r="F98" s="235" t="s">
        <v>8</v>
      </c>
      <c r="G98" s="235">
        <v>67</v>
      </c>
      <c r="H98" s="239"/>
      <c r="I98" s="235" t="s">
        <v>20</v>
      </c>
      <c r="J98" s="310" t="s">
        <v>46</v>
      </c>
      <c r="K98" s="311"/>
      <c r="L98" s="238" t="s">
        <v>542</v>
      </c>
      <c r="M98" s="238" t="s">
        <v>513</v>
      </c>
      <c r="N98" s="311" t="s">
        <v>24</v>
      </c>
      <c r="O98" s="312" t="s">
        <v>407</v>
      </c>
      <c r="P98" s="238" t="s">
        <v>512</v>
      </c>
      <c r="Q98" s="236"/>
      <c r="R98" s="236"/>
      <c r="S98" s="242"/>
      <c r="T98" s="242">
        <v>3355</v>
      </c>
      <c r="U98" s="242">
        <v>4360</v>
      </c>
      <c r="V98" s="242">
        <v>4795</v>
      </c>
      <c r="W98" s="242"/>
      <c r="X98" s="242"/>
      <c r="Y98" s="238"/>
      <c r="Z98" s="242">
        <v>9030</v>
      </c>
      <c r="AB98" s="214"/>
    </row>
    <row r="99" spans="1:28" s="50" customFormat="1">
      <c r="A99" s="234" t="s">
        <v>460</v>
      </c>
      <c r="B99" s="235">
        <v>192</v>
      </c>
      <c r="C99" s="235">
        <f t="shared" si="11"/>
        <v>24000</v>
      </c>
      <c r="D99" s="237" t="s">
        <v>25</v>
      </c>
      <c r="E99" s="235">
        <v>0.95</v>
      </c>
      <c r="F99" s="235" t="s">
        <v>8</v>
      </c>
      <c r="G99" s="235">
        <v>67</v>
      </c>
      <c r="H99" s="239"/>
      <c r="I99" s="235" t="s">
        <v>20</v>
      </c>
      <c r="J99" s="310" t="s">
        <v>50</v>
      </c>
      <c r="K99" s="313"/>
      <c r="L99" s="238" t="s">
        <v>542</v>
      </c>
      <c r="M99" s="238" t="s">
        <v>513</v>
      </c>
      <c r="N99" s="311" t="s">
        <v>24</v>
      </c>
      <c r="O99" s="312" t="s">
        <v>407</v>
      </c>
      <c r="P99" s="238" t="s">
        <v>512</v>
      </c>
      <c r="Q99" s="236"/>
      <c r="R99" s="236"/>
      <c r="S99" s="216"/>
      <c r="T99" s="216">
        <v>6710</v>
      </c>
      <c r="U99" s="216">
        <v>8725</v>
      </c>
      <c r="V99" s="216">
        <v>9600</v>
      </c>
      <c r="W99" s="238"/>
      <c r="X99" s="238"/>
      <c r="Y99" s="238"/>
      <c r="Z99" s="242">
        <v>9031</v>
      </c>
      <c r="AB99" s="214"/>
    </row>
    <row r="100" spans="1:28" s="50" customFormat="1">
      <c r="A100" s="234" t="s">
        <v>466</v>
      </c>
      <c r="B100" s="235">
        <v>192</v>
      </c>
      <c r="C100" s="235">
        <f t="shared" si="11"/>
        <v>24000</v>
      </c>
      <c r="D100" s="237" t="s">
        <v>25</v>
      </c>
      <c r="E100" s="235">
        <v>0.95</v>
      </c>
      <c r="F100" s="235" t="s">
        <v>8</v>
      </c>
      <c r="G100" s="235">
        <v>67</v>
      </c>
      <c r="H100" s="239"/>
      <c r="I100" s="235" t="s">
        <v>20</v>
      </c>
      <c r="J100" s="310" t="s">
        <v>54</v>
      </c>
      <c r="K100" s="313"/>
      <c r="L100" s="238" t="s">
        <v>542</v>
      </c>
      <c r="M100" s="238" t="s">
        <v>513</v>
      </c>
      <c r="N100" s="311" t="s">
        <v>24</v>
      </c>
      <c r="O100" s="312" t="s">
        <v>407</v>
      </c>
      <c r="P100" s="238" t="s">
        <v>512</v>
      </c>
      <c r="Q100" s="236"/>
      <c r="R100" s="236"/>
      <c r="S100" s="216"/>
      <c r="T100" s="216">
        <v>6710</v>
      </c>
      <c r="U100" s="216">
        <v>8725</v>
      </c>
      <c r="V100" s="216">
        <v>9600</v>
      </c>
      <c r="W100" s="238"/>
      <c r="X100" s="238"/>
      <c r="Y100" s="238"/>
      <c r="Z100" s="242">
        <v>9032</v>
      </c>
      <c r="AB100" s="214"/>
    </row>
    <row r="101" spans="1:28" s="50" customFormat="1">
      <c r="A101" s="234" t="s">
        <v>478</v>
      </c>
      <c r="B101" s="235">
        <v>192</v>
      </c>
      <c r="C101" s="235">
        <f t="shared" si="11"/>
        <v>24000</v>
      </c>
      <c r="D101" s="237" t="s">
        <v>25</v>
      </c>
      <c r="E101" s="235">
        <v>0.95</v>
      </c>
      <c r="F101" s="235" t="s">
        <v>19</v>
      </c>
      <c r="G101" s="235">
        <v>67</v>
      </c>
      <c r="H101" s="239"/>
      <c r="I101" s="235" t="s">
        <v>20</v>
      </c>
      <c r="J101" s="310" t="s">
        <v>62</v>
      </c>
      <c r="K101" s="313"/>
      <c r="L101" s="238" t="s">
        <v>542</v>
      </c>
      <c r="M101" s="238" t="s">
        <v>513</v>
      </c>
      <c r="N101" s="311" t="s">
        <v>24</v>
      </c>
      <c r="O101" s="312" t="s">
        <v>407</v>
      </c>
      <c r="P101" s="238" t="s">
        <v>512</v>
      </c>
      <c r="Q101" s="236"/>
      <c r="R101" s="236"/>
      <c r="S101" s="216"/>
      <c r="T101" s="216">
        <v>6710</v>
      </c>
      <c r="U101" s="216">
        <v>8725</v>
      </c>
      <c r="V101" s="216">
        <v>9600</v>
      </c>
      <c r="W101" s="238"/>
      <c r="X101" s="238"/>
      <c r="Y101" s="238"/>
      <c r="Z101" s="242">
        <v>9033</v>
      </c>
      <c r="AB101" s="214"/>
    </row>
    <row r="102" spans="1:28" s="50" customFormat="1">
      <c r="A102" s="234" t="s">
        <v>472</v>
      </c>
      <c r="B102" s="235">
        <v>192</v>
      </c>
      <c r="C102" s="235">
        <f t="shared" si="11"/>
        <v>24000</v>
      </c>
      <c r="D102" s="237" t="s">
        <v>25</v>
      </c>
      <c r="E102" s="235">
        <v>0.95</v>
      </c>
      <c r="F102" s="235" t="s">
        <v>19</v>
      </c>
      <c r="G102" s="235">
        <v>67</v>
      </c>
      <c r="H102" s="239"/>
      <c r="I102" s="235" t="s">
        <v>20</v>
      </c>
      <c r="J102" s="238" t="s">
        <v>58</v>
      </c>
      <c r="K102" s="313"/>
      <c r="L102" s="238" t="s">
        <v>542</v>
      </c>
      <c r="M102" s="238" t="s">
        <v>513</v>
      </c>
      <c r="N102" s="311" t="s">
        <v>24</v>
      </c>
      <c r="O102" s="312" t="s">
        <v>407</v>
      </c>
      <c r="P102" s="238" t="s">
        <v>512</v>
      </c>
      <c r="Q102" s="236"/>
      <c r="R102" s="236"/>
      <c r="S102" s="216"/>
      <c r="T102" s="216">
        <v>6710</v>
      </c>
      <c r="U102" s="216">
        <v>8725</v>
      </c>
      <c r="V102" s="216">
        <v>9600</v>
      </c>
      <c r="W102" s="238"/>
      <c r="X102" s="238"/>
      <c r="Y102" s="238"/>
      <c r="Z102" s="242">
        <v>9034</v>
      </c>
      <c r="AB102" s="214"/>
    </row>
    <row r="103" spans="1:28" s="50" customFormat="1">
      <c r="A103" s="234" t="s">
        <v>449</v>
      </c>
      <c r="B103" s="235">
        <v>124</v>
      </c>
      <c r="C103" s="235">
        <f t="shared" si="11"/>
        <v>15500</v>
      </c>
      <c r="D103" s="237" t="s">
        <v>25</v>
      </c>
      <c r="E103" s="235">
        <v>0.95</v>
      </c>
      <c r="F103" s="235" t="s">
        <v>8</v>
      </c>
      <c r="G103" s="235">
        <v>67</v>
      </c>
      <c r="H103" s="239"/>
      <c r="I103" s="235" t="s">
        <v>20</v>
      </c>
      <c r="J103" s="238" t="s">
        <v>316</v>
      </c>
      <c r="K103" s="313"/>
      <c r="L103" s="238" t="s">
        <v>542</v>
      </c>
      <c r="M103" s="238" t="s">
        <v>513</v>
      </c>
      <c r="N103" s="311" t="s">
        <v>24</v>
      </c>
      <c r="O103" s="312" t="s">
        <v>407</v>
      </c>
      <c r="P103" s="238" t="s">
        <v>512</v>
      </c>
      <c r="Q103" s="236"/>
      <c r="R103" s="236"/>
      <c r="S103" s="242"/>
      <c r="T103" s="242">
        <v>4400</v>
      </c>
      <c r="U103" s="242">
        <v>5720</v>
      </c>
      <c r="V103" s="242">
        <v>6290</v>
      </c>
      <c r="W103" s="238"/>
      <c r="X103" s="238"/>
      <c r="Y103" s="238"/>
      <c r="Z103" s="242">
        <v>9035</v>
      </c>
      <c r="AB103" s="214"/>
    </row>
    <row r="104" spans="1:28" s="50" customFormat="1">
      <c r="A104" s="234" t="s">
        <v>455</v>
      </c>
      <c r="B104" s="235">
        <v>124</v>
      </c>
      <c r="C104" s="235">
        <f t="shared" si="11"/>
        <v>15500</v>
      </c>
      <c r="D104" s="237" t="s">
        <v>25</v>
      </c>
      <c r="E104" s="235">
        <v>0.95</v>
      </c>
      <c r="F104" s="235" t="s">
        <v>8</v>
      </c>
      <c r="G104" s="235">
        <v>67</v>
      </c>
      <c r="H104" s="239"/>
      <c r="I104" s="235" t="s">
        <v>20</v>
      </c>
      <c r="J104" s="310" t="s">
        <v>318</v>
      </c>
      <c r="K104" s="313"/>
      <c r="L104" s="238" t="s">
        <v>542</v>
      </c>
      <c r="M104" s="238" t="s">
        <v>513</v>
      </c>
      <c r="N104" s="311" t="s">
        <v>24</v>
      </c>
      <c r="O104" s="312" t="s">
        <v>407</v>
      </c>
      <c r="P104" s="238" t="s">
        <v>512</v>
      </c>
      <c r="Q104" s="236"/>
      <c r="R104" s="236"/>
      <c r="S104" s="242"/>
      <c r="T104" s="242">
        <v>4400</v>
      </c>
      <c r="U104" s="242">
        <v>5720</v>
      </c>
      <c r="V104" s="242">
        <v>6290</v>
      </c>
      <c r="W104" s="238"/>
      <c r="X104" s="238"/>
      <c r="Y104" s="238"/>
      <c r="Z104" s="242">
        <v>9036</v>
      </c>
      <c r="AB104" s="214"/>
    </row>
    <row r="105" spans="1:28" s="50" customFormat="1">
      <c r="A105" s="234" t="s">
        <v>461</v>
      </c>
      <c r="B105" s="235">
        <v>248</v>
      </c>
      <c r="C105" s="235">
        <f t="shared" si="11"/>
        <v>31000</v>
      </c>
      <c r="D105" s="237" t="s">
        <v>25</v>
      </c>
      <c r="E105" s="235">
        <v>0.95</v>
      </c>
      <c r="F105" s="235" t="s">
        <v>8</v>
      </c>
      <c r="G105" s="235">
        <v>67</v>
      </c>
      <c r="H105" s="239"/>
      <c r="I105" s="235" t="s">
        <v>20</v>
      </c>
      <c r="J105" s="310" t="s">
        <v>327</v>
      </c>
      <c r="K105" s="313"/>
      <c r="L105" s="238" t="s">
        <v>542</v>
      </c>
      <c r="M105" s="238" t="s">
        <v>513</v>
      </c>
      <c r="N105" s="311" t="s">
        <v>24</v>
      </c>
      <c r="O105" s="312" t="s">
        <v>407</v>
      </c>
      <c r="P105" s="238" t="s">
        <v>512</v>
      </c>
      <c r="Q105" s="236"/>
      <c r="R105" s="236"/>
      <c r="S105" s="216"/>
      <c r="T105" s="216">
        <v>8800</v>
      </c>
      <c r="U105" s="216">
        <v>11440</v>
      </c>
      <c r="V105" s="216">
        <v>12585</v>
      </c>
      <c r="W105" s="238"/>
      <c r="X105" s="238"/>
      <c r="Y105" s="238"/>
      <c r="Z105" s="242">
        <v>9037</v>
      </c>
      <c r="AB105" s="214"/>
    </row>
    <row r="106" spans="1:28" s="50" customFormat="1">
      <c r="A106" s="234" t="s">
        <v>467</v>
      </c>
      <c r="B106" s="235">
        <v>248</v>
      </c>
      <c r="C106" s="235">
        <f t="shared" si="11"/>
        <v>31000</v>
      </c>
      <c r="D106" s="237" t="s">
        <v>25</v>
      </c>
      <c r="E106" s="235">
        <v>0.95</v>
      </c>
      <c r="F106" s="235" t="s">
        <v>8</v>
      </c>
      <c r="G106" s="235">
        <v>67</v>
      </c>
      <c r="H106" s="239"/>
      <c r="I106" s="235" t="s">
        <v>20</v>
      </c>
      <c r="J106" s="310" t="s">
        <v>328</v>
      </c>
      <c r="K106" s="313"/>
      <c r="L106" s="238" t="s">
        <v>542</v>
      </c>
      <c r="M106" s="238" t="s">
        <v>513</v>
      </c>
      <c r="N106" s="311" t="s">
        <v>24</v>
      </c>
      <c r="O106" s="312" t="s">
        <v>407</v>
      </c>
      <c r="P106" s="238" t="s">
        <v>512</v>
      </c>
      <c r="Q106" s="236"/>
      <c r="R106" s="236"/>
      <c r="S106" s="216"/>
      <c r="T106" s="216">
        <v>8800</v>
      </c>
      <c r="U106" s="216">
        <v>11440</v>
      </c>
      <c r="V106" s="216">
        <v>12585</v>
      </c>
      <c r="W106" s="238"/>
      <c r="X106" s="238"/>
      <c r="Y106" s="238"/>
      <c r="Z106" s="242">
        <v>9038</v>
      </c>
      <c r="AB106" s="214"/>
    </row>
    <row r="107" spans="1:28" s="50" customFormat="1">
      <c r="A107" s="234" t="s">
        <v>473</v>
      </c>
      <c r="B107" s="235">
        <v>248</v>
      </c>
      <c r="C107" s="235">
        <f t="shared" si="11"/>
        <v>31000</v>
      </c>
      <c r="D107" s="237" t="s">
        <v>25</v>
      </c>
      <c r="E107" s="235">
        <v>0.95</v>
      </c>
      <c r="F107" s="235" t="s">
        <v>19</v>
      </c>
      <c r="G107" s="235">
        <v>67</v>
      </c>
      <c r="H107" s="239"/>
      <c r="I107" s="235" t="s">
        <v>20</v>
      </c>
      <c r="J107" s="310" t="s">
        <v>329</v>
      </c>
      <c r="K107" s="313"/>
      <c r="L107" s="238" t="s">
        <v>542</v>
      </c>
      <c r="M107" s="238" t="s">
        <v>513</v>
      </c>
      <c r="N107" s="311" t="s">
        <v>24</v>
      </c>
      <c r="O107" s="312" t="s">
        <v>407</v>
      </c>
      <c r="P107" s="238" t="s">
        <v>512</v>
      </c>
      <c r="Q107" s="236"/>
      <c r="R107" s="236"/>
      <c r="S107" s="216"/>
      <c r="T107" s="216">
        <v>8800</v>
      </c>
      <c r="U107" s="216">
        <v>11440</v>
      </c>
      <c r="V107" s="216">
        <v>12585</v>
      </c>
      <c r="W107" s="238"/>
      <c r="X107" s="238"/>
      <c r="Y107" s="238"/>
      <c r="Z107" s="242">
        <v>9039</v>
      </c>
      <c r="AB107" s="214"/>
    </row>
    <row r="108" spans="1:28" s="50" customFormat="1">
      <c r="A108" s="234" t="s">
        <v>479</v>
      </c>
      <c r="B108" s="235">
        <v>248</v>
      </c>
      <c r="C108" s="235">
        <f t="shared" si="11"/>
        <v>31000</v>
      </c>
      <c r="D108" s="237" t="s">
        <v>25</v>
      </c>
      <c r="E108" s="235">
        <v>0.95</v>
      </c>
      <c r="F108" s="235" t="s">
        <v>19</v>
      </c>
      <c r="G108" s="235">
        <v>67</v>
      </c>
      <c r="H108" s="239"/>
      <c r="I108" s="235" t="s">
        <v>20</v>
      </c>
      <c r="J108" s="310" t="s">
        <v>330</v>
      </c>
      <c r="K108" s="313"/>
      <c r="L108" s="238" t="s">
        <v>542</v>
      </c>
      <c r="M108" s="238" t="s">
        <v>513</v>
      </c>
      <c r="N108" s="311" t="s">
        <v>24</v>
      </c>
      <c r="O108" s="312" t="s">
        <v>407</v>
      </c>
      <c r="P108" s="238" t="s">
        <v>512</v>
      </c>
      <c r="Q108" s="236"/>
      <c r="R108" s="236"/>
      <c r="S108" s="216"/>
      <c r="T108" s="216">
        <v>8800</v>
      </c>
      <c r="U108" s="216">
        <v>11440</v>
      </c>
      <c r="V108" s="216">
        <v>12585</v>
      </c>
      <c r="W108" s="238"/>
      <c r="X108" s="238"/>
      <c r="Y108" s="238"/>
      <c r="Z108" s="242">
        <v>9040</v>
      </c>
      <c r="AB108" s="214"/>
    </row>
    <row r="109" spans="1:28" s="50" customFormat="1">
      <c r="A109" s="234" t="s">
        <v>485</v>
      </c>
      <c r="B109" s="235">
        <v>372</v>
      </c>
      <c r="C109" s="235">
        <f t="shared" si="11"/>
        <v>46500</v>
      </c>
      <c r="D109" s="237" t="s">
        <v>25</v>
      </c>
      <c r="E109" s="235">
        <v>0.95</v>
      </c>
      <c r="F109" s="235" t="s">
        <v>8</v>
      </c>
      <c r="G109" s="235">
        <v>67</v>
      </c>
      <c r="H109" s="239"/>
      <c r="I109" s="235" t="s">
        <v>20</v>
      </c>
      <c r="J109" s="310" t="s">
        <v>331</v>
      </c>
      <c r="K109" s="313"/>
      <c r="L109" s="238" t="s">
        <v>542</v>
      </c>
      <c r="M109" s="238" t="s">
        <v>513</v>
      </c>
      <c r="N109" s="311" t="s">
        <v>24</v>
      </c>
      <c r="O109" s="312" t="s">
        <v>407</v>
      </c>
      <c r="P109" s="238" t="s">
        <v>512</v>
      </c>
      <c r="Q109" s="236"/>
      <c r="R109" s="236"/>
      <c r="S109" s="216"/>
      <c r="T109" s="216">
        <v>13200</v>
      </c>
      <c r="U109" s="216">
        <v>17160</v>
      </c>
      <c r="V109" s="216">
        <v>18875</v>
      </c>
      <c r="W109" s="238"/>
      <c r="X109" s="238"/>
      <c r="Y109" s="238"/>
      <c r="Z109" s="242">
        <v>9041</v>
      </c>
      <c r="AB109" s="214"/>
    </row>
    <row r="110" spans="1:28" s="50" customFormat="1">
      <c r="A110" s="234" t="s">
        <v>491</v>
      </c>
      <c r="B110" s="235">
        <v>372</v>
      </c>
      <c r="C110" s="235">
        <f t="shared" si="11"/>
        <v>46500</v>
      </c>
      <c r="D110" s="237" t="s">
        <v>25</v>
      </c>
      <c r="E110" s="235">
        <v>0.95</v>
      </c>
      <c r="F110" s="235" t="s">
        <v>8</v>
      </c>
      <c r="G110" s="235">
        <v>67</v>
      </c>
      <c r="H110" s="239"/>
      <c r="I110" s="235" t="s">
        <v>20</v>
      </c>
      <c r="J110" s="310" t="s">
        <v>332</v>
      </c>
      <c r="K110" s="313"/>
      <c r="L110" s="238" t="s">
        <v>542</v>
      </c>
      <c r="M110" s="238" t="s">
        <v>513</v>
      </c>
      <c r="N110" s="311" t="s">
        <v>24</v>
      </c>
      <c r="O110" s="312" t="s">
        <v>407</v>
      </c>
      <c r="P110" s="238" t="s">
        <v>512</v>
      </c>
      <c r="Q110" s="236"/>
      <c r="R110" s="236"/>
      <c r="S110" s="216"/>
      <c r="T110" s="216">
        <v>13200</v>
      </c>
      <c r="U110" s="216">
        <v>17160</v>
      </c>
      <c r="V110" s="216">
        <v>18875</v>
      </c>
      <c r="W110" s="238"/>
      <c r="X110" s="238"/>
      <c r="Y110" s="238"/>
      <c r="Z110" s="242">
        <v>9042</v>
      </c>
      <c r="AB110" s="214"/>
    </row>
    <row r="111" spans="1:28" s="50" customFormat="1">
      <c r="A111" s="234" t="s">
        <v>497</v>
      </c>
      <c r="B111" s="235">
        <v>372</v>
      </c>
      <c r="C111" s="235">
        <f t="shared" si="11"/>
        <v>46500</v>
      </c>
      <c r="D111" s="237" t="s">
        <v>25</v>
      </c>
      <c r="E111" s="235">
        <v>0.95</v>
      </c>
      <c r="F111" s="235" t="s">
        <v>19</v>
      </c>
      <c r="G111" s="235">
        <v>67</v>
      </c>
      <c r="H111" s="239"/>
      <c r="I111" s="235" t="s">
        <v>20</v>
      </c>
      <c r="J111" s="310" t="s">
        <v>333</v>
      </c>
      <c r="K111" s="313"/>
      <c r="L111" s="238" t="s">
        <v>542</v>
      </c>
      <c r="M111" s="238" t="s">
        <v>513</v>
      </c>
      <c r="N111" s="311" t="s">
        <v>24</v>
      </c>
      <c r="O111" s="312" t="s">
        <v>407</v>
      </c>
      <c r="P111" s="238" t="s">
        <v>512</v>
      </c>
      <c r="Q111" s="236"/>
      <c r="R111" s="236"/>
      <c r="S111" s="216"/>
      <c r="T111" s="216">
        <v>13200</v>
      </c>
      <c r="U111" s="216">
        <v>17160</v>
      </c>
      <c r="V111" s="216">
        <v>18875</v>
      </c>
      <c r="W111" s="238"/>
      <c r="X111" s="238"/>
      <c r="Y111" s="238"/>
      <c r="Z111" s="242">
        <v>9043</v>
      </c>
      <c r="AB111" s="214"/>
    </row>
    <row r="112" spans="1:28" s="50" customFormat="1">
      <c r="A112" s="234" t="s">
        <v>503</v>
      </c>
      <c r="B112" s="235">
        <v>372</v>
      </c>
      <c r="C112" s="235">
        <f t="shared" si="11"/>
        <v>46500</v>
      </c>
      <c r="D112" s="237" t="s">
        <v>25</v>
      </c>
      <c r="E112" s="235">
        <v>0.95</v>
      </c>
      <c r="F112" s="235" t="s">
        <v>19</v>
      </c>
      <c r="G112" s="235">
        <v>67</v>
      </c>
      <c r="H112" s="239"/>
      <c r="I112" s="235" t="s">
        <v>20</v>
      </c>
      <c r="J112" s="310" t="s">
        <v>334</v>
      </c>
      <c r="K112" s="313"/>
      <c r="L112" s="238" t="s">
        <v>542</v>
      </c>
      <c r="M112" s="238" t="s">
        <v>513</v>
      </c>
      <c r="N112" s="311" t="s">
        <v>24</v>
      </c>
      <c r="O112" s="312" t="s">
        <v>407</v>
      </c>
      <c r="P112" s="238" t="s">
        <v>512</v>
      </c>
      <c r="Q112" s="236"/>
      <c r="R112" s="236"/>
      <c r="S112" s="216"/>
      <c r="T112" s="216">
        <v>13200</v>
      </c>
      <c r="U112" s="216">
        <v>17160</v>
      </c>
      <c r="V112" s="216">
        <v>18875</v>
      </c>
      <c r="W112" s="238"/>
      <c r="X112" s="238"/>
      <c r="Y112" s="238"/>
      <c r="Z112" s="242">
        <v>9044</v>
      </c>
      <c r="AB112" s="214"/>
    </row>
    <row r="113" spans="1:28" s="50" customFormat="1">
      <c r="A113" s="234" t="s">
        <v>504</v>
      </c>
      <c r="B113" s="235">
        <v>32</v>
      </c>
      <c r="C113" s="235">
        <f t="shared" si="11"/>
        <v>4000</v>
      </c>
      <c r="D113" s="237" t="s">
        <v>25</v>
      </c>
      <c r="E113" s="235">
        <v>0.95</v>
      </c>
      <c r="F113" s="235" t="s">
        <v>19</v>
      </c>
      <c r="G113" s="235">
        <v>67</v>
      </c>
      <c r="H113" s="239"/>
      <c r="I113" s="235" t="s">
        <v>20</v>
      </c>
      <c r="J113" s="243" t="s">
        <v>79</v>
      </c>
      <c r="K113" s="313"/>
      <c r="L113" s="238" t="s">
        <v>542</v>
      </c>
      <c r="M113" s="238" t="s">
        <v>513</v>
      </c>
      <c r="N113" s="311" t="s">
        <v>24</v>
      </c>
      <c r="O113" s="312" t="s">
        <v>407</v>
      </c>
      <c r="P113" s="238" t="s">
        <v>512</v>
      </c>
      <c r="Q113" s="236"/>
      <c r="R113" s="236"/>
      <c r="S113" s="242"/>
      <c r="T113" s="242">
        <v>2640</v>
      </c>
      <c r="U113" s="242">
        <v>3430</v>
      </c>
      <c r="V113" s="242">
        <v>3775</v>
      </c>
      <c r="W113" s="238"/>
      <c r="X113" s="238"/>
      <c r="Y113" s="238"/>
      <c r="Z113" s="242">
        <v>9045</v>
      </c>
      <c r="AB113" s="214"/>
    </row>
    <row r="114" spans="1:28" s="50" customFormat="1">
      <c r="A114" s="234" t="s">
        <v>505</v>
      </c>
      <c r="B114" s="235">
        <v>48</v>
      </c>
      <c r="C114" s="235">
        <f t="shared" si="11"/>
        <v>6000</v>
      </c>
      <c r="D114" s="237" t="s">
        <v>25</v>
      </c>
      <c r="E114" s="235">
        <v>0.95</v>
      </c>
      <c r="F114" s="235" t="s">
        <v>19</v>
      </c>
      <c r="G114" s="235">
        <v>67</v>
      </c>
      <c r="H114" s="239"/>
      <c r="I114" s="235" t="s">
        <v>20</v>
      </c>
      <c r="J114" s="243" t="s">
        <v>80</v>
      </c>
      <c r="K114" s="313"/>
      <c r="L114" s="238" t="s">
        <v>542</v>
      </c>
      <c r="M114" s="238" t="s">
        <v>513</v>
      </c>
      <c r="N114" s="311" t="s">
        <v>24</v>
      </c>
      <c r="O114" s="312" t="s">
        <v>407</v>
      </c>
      <c r="P114" s="238" t="s">
        <v>512</v>
      </c>
      <c r="Q114" s="236"/>
      <c r="R114" s="236"/>
      <c r="S114" s="242"/>
      <c r="T114" s="242">
        <v>3170</v>
      </c>
      <c r="U114" s="242">
        <v>4120</v>
      </c>
      <c r="V114" s="242">
        <v>4530</v>
      </c>
      <c r="W114" s="238"/>
      <c r="X114" s="238"/>
      <c r="Y114" s="238"/>
      <c r="Z114" s="242">
        <v>9046</v>
      </c>
      <c r="AB114" s="214"/>
    </row>
    <row r="115" spans="1:28" s="50" customFormat="1">
      <c r="A115" s="234" t="s">
        <v>506</v>
      </c>
      <c r="B115" s="235">
        <v>64</v>
      </c>
      <c r="C115" s="235">
        <f t="shared" si="11"/>
        <v>8000</v>
      </c>
      <c r="D115" s="237" t="s">
        <v>25</v>
      </c>
      <c r="E115" s="235">
        <v>0.95</v>
      </c>
      <c r="F115" s="235" t="s">
        <v>19</v>
      </c>
      <c r="G115" s="235">
        <v>67</v>
      </c>
      <c r="H115" s="239"/>
      <c r="I115" s="235" t="s">
        <v>20</v>
      </c>
      <c r="J115" s="243" t="s">
        <v>79</v>
      </c>
      <c r="K115" s="313"/>
      <c r="L115" s="238" t="s">
        <v>542</v>
      </c>
      <c r="M115" s="238" t="s">
        <v>513</v>
      </c>
      <c r="N115" s="313" t="s">
        <v>15</v>
      </c>
      <c r="O115" s="312" t="s">
        <v>407</v>
      </c>
      <c r="P115" s="238" t="s">
        <v>512</v>
      </c>
      <c r="Q115" s="240"/>
      <c r="R115" s="236"/>
      <c r="S115" s="242"/>
      <c r="T115" s="242">
        <v>3190</v>
      </c>
      <c r="U115" s="242">
        <v>4145</v>
      </c>
      <c r="V115" s="242">
        <v>4560</v>
      </c>
      <c r="W115" s="238"/>
      <c r="X115" s="238"/>
      <c r="Y115" s="238"/>
      <c r="Z115" s="242">
        <v>9047</v>
      </c>
      <c r="AB115" s="214"/>
    </row>
    <row r="116" spans="1:28" s="50" customFormat="1">
      <c r="A116" s="234" t="s">
        <v>507</v>
      </c>
      <c r="B116" s="235">
        <v>96</v>
      </c>
      <c r="C116" s="235">
        <f t="shared" si="11"/>
        <v>12000</v>
      </c>
      <c r="D116" s="237" t="s">
        <v>25</v>
      </c>
      <c r="E116" s="235">
        <v>0.95</v>
      </c>
      <c r="F116" s="235" t="s">
        <v>19</v>
      </c>
      <c r="G116" s="235">
        <v>67</v>
      </c>
      <c r="H116" s="239"/>
      <c r="I116" s="235" t="s">
        <v>20</v>
      </c>
      <c r="J116" s="243" t="s">
        <v>80</v>
      </c>
      <c r="K116" s="313"/>
      <c r="L116" s="238" t="s">
        <v>542</v>
      </c>
      <c r="M116" s="238" t="s">
        <v>513</v>
      </c>
      <c r="N116" s="313" t="s">
        <v>15</v>
      </c>
      <c r="O116" s="312" t="s">
        <v>407</v>
      </c>
      <c r="P116" s="238" t="s">
        <v>512</v>
      </c>
      <c r="Q116" s="240"/>
      <c r="R116" s="236"/>
      <c r="S116" s="242"/>
      <c r="T116" s="242">
        <v>3850</v>
      </c>
      <c r="U116" s="242">
        <v>5005</v>
      </c>
      <c r="V116" s="242">
        <v>5505</v>
      </c>
      <c r="W116" s="238"/>
      <c r="X116" s="238"/>
      <c r="Y116" s="238"/>
      <c r="Z116" s="242">
        <v>9048</v>
      </c>
      <c r="AB116" s="214"/>
    </row>
    <row r="117" spans="1:28" s="50" customFormat="1">
      <c r="A117" s="234" t="s">
        <v>508</v>
      </c>
      <c r="B117" s="235">
        <v>124</v>
      </c>
      <c r="C117" s="235">
        <f t="shared" si="11"/>
        <v>15500</v>
      </c>
      <c r="D117" s="237" t="s">
        <v>25</v>
      </c>
      <c r="E117" s="235">
        <v>0.95</v>
      </c>
      <c r="F117" s="235" t="s">
        <v>19</v>
      </c>
      <c r="G117" s="235">
        <v>67</v>
      </c>
      <c r="H117" s="239"/>
      <c r="I117" s="235" t="s">
        <v>20</v>
      </c>
      <c r="J117" s="243" t="s">
        <v>81</v>
      </c>
      <c r="K117" s="313"/>
      <c r="L117" s="238" t="s">
        <v>542</v>
      </c>
      <c r="M117" s="238" t="s">
        <v>513</v>
      </c>
      <c r="N117" s="313" t="s">
        <v>15</v>
      </c>
      <c r="O117" s="312" t="s">
        <v>407</v>
      </c>
      <c r="P117" s="238" t="s">
        <v>512</v>
      </c>
      <c r="Q117" s="240"/>
      <c r="R117" s="236"/>
      <c r="S117" s="242"/>
      <c r="T117" s="242">
        <v>4400</v>
      </c>
      <c r="U117" s="242">
        <v>5720</v>
      </c>
      <c r="V117" s="242">
        <v>6290</v>
      </c>
      <c r="W117" s="238"/>
      <c r="X117" s="238"/>
      <c r="Y117" s="238"/>
      <c r="Z117" s="242">
        <v>9049</v>
      </c>
      <c r="AB117" s="214"/>
    </row>
    <row r="118" spans="1:28" s="50" customFormat="1">
      <c r="A118" s="234" t="s">
        <v>509</v>
      </c>
      <c r="B118" s="235">
        <v>192</v>
      </c>
      <c r="C118" s="235">
        <f t="shared" si="11"/>
        <v>24000</v>
      </c>
      <c r="D118" s="237" t="s">
        <v>25</v>
      </c>
      <c r="E118" s="235">
        <v>0.95</v>
      </c>
      <c r="F118" s="235" t="s">
        <v>19</v>
      </c>
      <c r="G118" s="235">
        <v>67</v>
      </c>
      <c r="H118" s="239"/>
      <c r="I118" s="235" t="s">
        <v>20</v>
      </c>
      <c r="J118" s="243" t="s">
        <v>82</v>
      </c>
      <c r="K118" s="313"/>
      <c r="L118" s="238" t="s">
        <v>542</v>
      </c>
      <c r="M118" s="238" t="s">
        <v>513</v>
      </c>
      <c r="N118" s="313" t="s">
        <v>15</v>
      </c>
      <c r="O118" s="312" t="s">
        <v>407</v>
      </c>
      <c r="P118" s="238" t="s">
        <v>512</v>
      </c>
      <c r="Q118" s="240"/>
      <c r="R118" s="236"/>
      <c r="S118" s="242"/>
      <c r="T118" s="242">
        <v>6710</v>
      </c>
      <c r="U118" s="242">
        <v>8725</v>
      </c>
      <c r="V118" s="242">
        <v>9600</v>
      </c>
      <c r="W118" s="238"/>
      <c r="X118" s="238"/>
      <c r="Y118" s="238"/>
      <c r="Z118" s="242">
        <v>9050</v>
      </c>
      <c r="AB118" s="214"/>
    </row>
    <row r="119" spans="1:28" s="50" customFormat="1">
      <c r="A119" s="234" t="s">
        <v>510</v>
      </c>
      <c r="B119" s="235">
        <v>192</v>
      </c>
      <c r="C119" s="235">
        <f t="shared" si="11"/>
        <v>24000</v>
      </c>
      <c r="D119" s="237" t="s">
        <v>25</v>
      </c>
      <c r="E119" s="235">
        <v>0.95</v>
      </c>
      <c r="F119" s="235" t="s">
        <v>19</v>
      </c>
      <c r="G119" s="235">
        <v>67</v>
      </c>
      <c r="H119" s="239"/>
      <c r="I119" s="235" t="s">
        <v>20</v>
      </c>
      <c r="J119" s="243" t="s">
        <v>83</v>
      </c>
      <c r="K119" s="313"/>
      <c r="L119" s="238" t="s">
        <v>542</v>
      </c>
      <c r="M119" s="238" t="s">
        <v>513</v>
      </c>
      <c r="N119" s="313" t="s">
        <v>15</v>
      </c>
      <c r="O119" s="312" t="s">
        <v>407</v>
      </c>
      <c r="P119" s="238" t="s">
        <v>512</v>
      </c>
      <c r="Q119" s="240"/>
      <c r="R119" s="236"/>
      <c r="S119" s="242"/>
      <c r="T119" s="242">
        <v>7700</v>
      </c>
      <c r="U119" s="242">
        <v>10010</v>
      </c>
      <c r="V119" s="242">
        <v>11010</v>
      </c>
      <c r="W119" s="238"/>
      <c r="X119" s="238"/>
      <c r="Y119" s="238"/>
      <c r="Z119" s="242">
        <v>9051</v>
      </c>
      <c r="AB119" s="214"/>
    </row>
    <row r="120" spans="1:28" s="50" customFormat="1">
      <c r="A120" s="234" t="s">
        <v>511</v>
      </c>
      <c r="B120" s="235">
        <v>248</v>
      </c>
      <c r="C120" s="235">
        <f t="shared" si="11"/>
        <v>31000</v>
      </c>
      <c r="D120" s="237" t="s">
        <v>25</v>
      </c>
      <c r="E120" s="235">
        <v>0.95</v>
      </c>
      <c r="F120" s="235" t="s">
        <v>19</v>
      </c>
      <c r="G120" s="235">
        <v>67</v>
      </c>
      <c r="H120" s="239"/>
      <c r="I120" s="235" t="s">
        <v>20</v>
      </c>
      <c r="J120" s="243" t="s">
        <v>84</v>
      </c>
      <c r="K120" s="313"/>
      <c r="L120" s="238" t="s">
        <v>542</v>
      </c>
      <c r="M120" s="238" t="s">
        <v>513</v>
      </c>
      <c r="N120" s="313" t="s">
        <v>15</v>
      </c>
      <c r="O120" s="312" t="s">
        <v>407</v>
      </c>
      <c r="P120" s="238" t="s">
        <v>512</v>
      </c>
      <c r="Q120" s="240"/>
      <c r="R120" s="236"/>
      <c r="S120" s="242"/>
      <c r="T120" s="242">
        <v>8800</v>
      </c>
      <c r="U120" s="242">
        <v>11440</v>
      </c>
      <c r="V120" s="242">
        <v>12585</v>
      </c>
      <c r="W120" s="238"/>
      <c r="X120" s="238"/>
      <c r="Y120" s="238"/>
      <c r="Z120" s="242">
        <v>9052</v>
      </c>
      <c r="AB120" s="214"/>
    </row>
    <row r="121" spans="1:28" s="50" customFormat="1">
      <c r="A121" s="234" t="s">
        <v>480</v>
      </c>
      <c r="B121" s="235">
        <f>96</f>
        <v>96</v>
      </c>
      <c r="C121" s="235">
        <f t="shared" si="11"/>
        <v>12000</v>
      </c>
      <c r="D121" s="237" t="s">
        <v>25</v>
      </c>
      <c r="E121" s="235">
        <v>0.95</v>
      </c>
      <c r="F121" s="235" t="s">
        <v>8</v>
      </c>
      <c r="G121" s="235">
        <v>67</v>
      </c>
      <c r="H121" s="239"/>
      <c r="I121" s="235" t="s">
        <v>20</v>
      </c>
      <c r="J121" s="243" t="s">
        <v>63</v>
      </c>
      <c r="K121" s="313"/>
      <c r="L121" s="238" t="s">
        <v>542</v>
      </c>
      <c r="M121" s="238" t="s">
        <v>513</v>
      </c>
      <c r="N121" s="313" t="s">
        <v>15</v>
      </c>
      <c r="O121" s="312" t="s">
        <v>407</v>
      </c>
      <c r="P121" s="238" t="s">
        <v>512</v>
      </c>
      <c r="Q121" s="240"/>
      <c r="R121" s="236"/>
      <c r="S121" s="216"/>
      <c r="T121" s="216">
        <v>4785</v>
      </c>
      <c r="U121" s="216">
        <v>6220</v>
      </c>
      <c r="V121" s="216">
        <v>6840</v>
      </c>
      <c r="W121" s="238"/>
      <c r="X121" s="238"/>
      <c r="Y121" s="238"/>
      <c r="Z121" s="242">
        <v>9053</v>
      </c>
      <c r="AB121" s="214"/>
    </row>
    <row r="122" spans="1:28" s="50" customFormat="1">
      <c r="A122" s="234" t="s">
        <v>481</v>
      </c>
      <c r="B122" s="235">
        <f>48*3</f>
        <v>144</v>
      </c>
      <c r="C122" s="235">
        <f t="shared" si="11"/>
        <v>18000</v>
      </c>
      <c r="D122" s="237" t="s">
        <v>25</v>
      </c>
      <c r="E122" s="235">
        <v>0.95</v>
      </c>
      <c r="F122" s="235" t="s">
        <v>8</v>
      </c>
      <c r="G122" s="235">
        <v>67</v>
      </c>
      <c r="H122" s="239"/>
      <c r="I122" s="235" t="s">
        <v>20</v>
      </c>
      <c r="J122" s="243" t="s">
        <v>64</v>
      </c>
      <c r="K122" s="313"/>
      <c r="L122" s="238" t="s">
        <v>542</v>
      </c>
      <c r="M122" s="238" t="s">
        <v>513</v>
      </c>
      <c r="N122" s="313" t="s">
        <v>15</v>
      </c>
      <c r="O122" s="312" t="s">
        <v>407</v>
      </c>
      <c r="P122" s="238" t="s">
        <v>512</v>
      </c>
      <c r="Q122" s="240"/>
      <c r="R122" s="236"/>
      <c r="S122" s="216"/>
      <c r="T122" s="216">
        <v>5775</v>
      </c>
      <c r="U122" s="216">
        <v>7510</v>
      </c>
      <c r="V122" s="216">
        <v>8260</v>
      </c>
      <c r="W122" s="238"/>
      <c r="X122" s="238"/>
      <c r="Y122" s="238"/>
      <c r="Z122" s="242">
        <v>9054</v>
      </c>
      <c r="AB122" s="214"/>
    </row>
    <row r="123" spans="1:28" s="50" customFormat="1">
      <c r="A123" s="234" t="s">
        <v>482</v>
      </c>
      <c r="B123" s="235">
        <v>186</v>
      </c>
      <c r="C123" s="235">
        <f t="shared" si="11"/>
        <v>23250</v>
      </c>
      <c r="D123" s="237" t="s">
        <v>25</v>
      </c>
      <c r="E123" s="235">
        <v>0.95</v>
      </c>
      <c r="F123" s="235" t="s">
        <v>8</v>
      </c>
      <c r="G123" s="235">
        <v>67</v>
      </c>
      <c r="H123" s="239"/>
      <c r="I123" s="235" t="s">
        <v>20</v>
      </c>
      <c r="J123" s="243" t="s">
        <v>65</v>
      </c>
      <c r="K123" s="313"/>
      <c r="L123" s="238" t="s">
        <v>542</v>
      </c>
      <c r="M123" s="238" t="s">
        <v>513</v>
      </c>
      <c r="N123" s="313" t="s">
        <v>15</v>
      </c>
      <c r="O123" s="312" t="s">
        <v>407</v>
      </c>
      <c r="P123" s="238" t="s">
        <v>512</v>
      </c>
      <c r="Q123" s="240"/>
      <c r="R123" s="236"/>
      <c r="S123" s="216"/>
      <c r="T123" s="216">
        <v>6600</v>
      </c>
      <c r="U123" s="216">
        <v>8580</v>
      </c>
      <c r="V123" s="216">
        <v>9440</v>
      </c>
      <c r="W123" s="238"/>
      <c r="X123" s="238"/>
      <c r="Y123" s="238"/>
      <c r="Z123" s="242">
        <v>9055</v>
      </c>
      <c r="AB123" s="214"/>
    </row>
    <row r="124" spans="1:28" s="50" customFormat="1">
      <c r="A124" s="234" t="s">
        <v>484</v>
      </c>
      <c r="B124" s="235">
        <f>96*3</f>
        <v>288</v>
      </c>
      <c r="C124" s="235">
        <f t="shared" si="11"/>
        <v>36000</v>
      </c>
      <c r="D124" s="237" t="s">
        <v>25</v>
      </c>
      <c r="E124" s="235">
        <v>0.95</v>
      </c>
      <c r="F124" s="235" t="s">
        <v>8</v>
      </c>
      <c r="G124" s="235">
        <v>67</v>
      </c>
      <c r="H124" s="239"/>
      <c r="I124" s="235" t="s">
        <v>20</v>
      </c>
      <c r="J124" s="243" t="s">
        <v>66</v>
      </c>
      <c r="K124" s="313"/>
      <c r="L124" s="238" t="s">
        <v>542</v>
      </c>
      <c r="M124" s="238" t="s">
        <v>513</v>
      </c>
      <c r="N124" s="313" t="s">
        <v>15</v>
      </c>
      <c r="O124" s="312" t="s">
        <v>407</v>
      </c>
      <c r="P124" s="238" t="s">
        <v>512</v>
      </c>
      <c r="Q124" s="240"/>
      <c r="R124" s="236"/>
      <c r="S124" s="216"/>
      <c r="T124" s="216">
        <v>10065</v>
      </c>
      <c r="U124" s="216">
        <v>13085</v>
      </c>
      <c r="V124" s="216">
        <v>14395</v>
      </c>
      <c r="W124" s="238"/>
      <c r="X124" s="238"/>
      <c r="Y124" s="238"/>
      <c r="Z124" s="242">
        <v>9056</v>
      </c>
      <c r="AB124" s="214"/>
    </row>
    <row r="125" spans="1:28" s="50" customFormat="1">
      <c r="A125" s="234" t="s">
        <v>492</v>
      </c>
      <c r="B125" s="235">
        <v>96</v>
      </c>
      <c r="C125" s="235">
        <f t="shared" si="11"/>
        <v>12000</v>
      </c>
      <c r="D125" s="237" t="s">
        <v>25</v>
      </c>
      <c r="E125" s="235">
        <v>0.95</v>
      </c>
      <c r="F125" s="235" t="s">
        <v>19</v>
      </c>
      <c r="G125" s="235">
        <v>67</v>
      </c>
      <c r="H125" s="239"/>
      <c r="I125" s="235" t="s">
        <v>20</v>
      </c>
      <c r="J125" s="243" t="s">
        <v>71</v>
      </c>
      <c r="K125" s="313"/>
      <c r="L125" s="238" t="s">
        <v>542</v>
      </c>
      <c r="M125" s="238" t="s">
        <v>513</v>
      </c>
      <c r="N125" s="313" t="s">
        <v>15</v>
      </c>
      <c r="O125" s="312" t="s">
        <v>407</v>
      </c>
      <c r="P125" s="238" t="s">
        <v>512</v>
      </c>
      <c r="Q125" s="240"/>
      <c r="R125" s="236"/>
      <c r="S125" s="216"/>
      <c r="T125" s="216">
        <v>4785</v>
      </c>
      <c r="U125" s="216">
        <v>6220</v>
      </c>
      <c r="V125" s="216">
        <v>6840</v>
      </c>
      <c r="W125" s="238"/>
      <c r="X125" s="238"/>
      <c r="Y125" s="238"/>
      <c r="Z125" s="242">
        <v>9057</v>
      </c>
      <c r="AB125" s="214"/>
    </row>
    <row r="126" spans="1:28" s="50" customFormat="1">
      <c r="A126" s="234" t="s">
        <v>493</v>
      </c>
      <c r="B126" s="235">
        <v>144</v>
      </c>
      <c r="C126" s="235">
        <f t="shared" si="11"/>
        <v>18000</v>
      </c>
      <c r="D126" s="237" t="s">
        <v>25</v>
      </c>
      <c r="E126" s="235">
        <v>0.95</v>
      </c>
      <c r="F126" s="235" t="s">
        <v>19</v>
      </c>
      <c r="G126" s="235">
        <v>67</v>
      </c>
      <c r="H126" s="239"/>
      <c r="I126" s="235" t="s">
        <v>20</v>
      </c>
      <c r="J126" s="243" t="s">
        <v>72</v>
      </c>
      <c r="K126" s="313"/>
      <c r="L126" s="238" t="s">
        <v>542</v>
      </c>
      <c r="M126" s="238" t="s">
        <v>513</v>
      </c>
      <c r="N126" s="313" t="s">
        <v>15</v>
      </c>
      <c r="O126" s="312" t="s">
        <v>407</v>
      </c>
      <c r="P126" s="238" t="s">
        <v>512</v>
      </c>
      <c r="Q126" s="240"/>
      <c r="R126" s="236"/>
      <c r="S126" s="216"/>
      <c r="T126" s="216">
        <v>5775</v>
      </c>
      <c r="U126" s="216">
        <v>7510</v>
      </c>
      <c r="V126" s="216">
        <v>8260</v>
      </c>
      <c r="W126" s="238"/>
      <c r="X126" s="238"/>
      <c r="Y126" s="238"/>
      <c r="Z126" s="242">
        <v>9058</v>
      </c>
      <c r="AB126" s="214"/>
    </row>
    <row r="127" spans="1:28" s="50" customFormat="1">
      <c r="A127" s="234" t="s">
        <v>494</v>
      </c>
      <c r="B127" s="235">
        <v>186</v>
      </c>
      <c r="C127" s="235">
        <f t="shared" si="11"/>
        <v>23250</v>
      </c>
      <c r="D127" s="237" t="s">
        <v>25</v>
      </c>
      <c r="E127" s="235">
        <v>0.95</v>
      </c>
      <c r="F127" s="235" t="s">
        <v>19</v>
      </c>
      <c r="G127" s="235">
        <v>67</v>
      </c>
      <c r="H127" s="239"/>
      <c r="I127" s="235" t="s">
        <v>20</v>
      </c>
      <c r="J127" s="243" t="s">
        <v>73</v>
      </c>
      <c r="K127" s="313"/>
      <c r="L127" s="238" t="s">
        <v>542</v>
      </c>
      <c r="M127" s="238" t="s">
        <v>513</v>
      </c>
      <c r="N127" s="313" t="s">
        <v>15</v>
      </c>
      <c r="O127" s="312" t="s">
        <v>407</v>
      </c>
      <c r="P127" s="238" t="s">
        <v>512</v>
      </c>
      <c r="Q127" s="240"/>
      <c r="R127" s="236"/>
      <c r="S127" s="216"/>
      <c r="T127" s="216">
        <v>7260</v>
      </c>
      <c r="U127" s="216">
        <v>9440</v>
      </c>
      <c r="V127" s="216">
        <v>10385</v>
      </c>
      <c r="W127" s="238"/>
      <c r="X127" s="238"/>
      <c r="Y127" s="238"/>
      <c r="Z127" s="242">
        <v>9059</v>
      </c>
      <c r="AB127" s="214"/>
    </row>
    <row r="128" spans="1:28" s="50" customFormat="1">
      <c r="A128" s="234" t="s">
        <v>496</v>
      </c>
      <c r="B128" s="235">
        <v>288</v>
      </c>
      <c r="C128" s="235">
        <f t="shared" si="11"/>
        <v>36000</v>
      </c>
      <c r="D128" s="237" t="s">
        <v>25</v>
      </c>
      <c r="E128" s="235">
        <v>0.95</v>
      </c>
      <c r="F128" s="235" t="s">
        <v>19</v>
      </c>
      <c r="G128" s="235">
        <v>67</v>
      </c>
      <c r="H128" s="239"/>
      <c r="I128" s="235" t="s">
        <v>20</v>
      </c>
      <c r="J128" s="243" t="s">
        <v>74</v>
      </c>
      <c r="K128" s="313"/>
      <c r="L128" s="238" t="s">
        <v>542</v>
      </c>
      <c r="M128" s="238" t="s">
        <v>513</v>
      </c>
      <c r="N128" s="313" t="s">
        <v>15</v>
      </c>
      <c r="O128" s="312" t="s">
        <v>407</v>
      </c>
      <c r="P128" s="238" t="s">
        <v>512</v>
      </c>
      <c r="Q128" s="240"/>
      <c r="R128" s="236"/>
      <c r="S128" s="216"/>
      <c r="T128" s="216">
        <v>10065</v>
      </c>
      <c r="U128" s="216">
        <v>13085</v>
      </c>
      <c r="V128" s="216">
        <v>14395</v>
      </c>
      <c r="W128" s="238"/>
      <c r="X128" s="238"/>
      <c r="Y128" s="238"/>
      <c r="Z128" s="242">
        <v>9060</v>
      </c>
      <c r="AB128" s="214"/>
    </row>
    <row r="129" spans="1:28" s="50" customFormat="1">
      <c r="A129" s="244" t="s">
        <v>486</v>
      </c>
      <c r="B129" s="235">
        <v>96</v>
      </c>
      <c r="C129" s="235">
        <f t="shared" si="11"/>
        <v>12000</v>
      </c>
      <c r="D129" s="237" t="s">
        <v>25</v>
      </c>
      <c r="E129" s="235">
        <v>0.95</v>
      </c>
      <c r="F129" s="235" t="s">
        <v>8</v>
      </c>
      <c r="G129" s="235">
        <v>67</v>
      </c>
      <c r="H129" s="239"/>
      <c r="I129" s="235" t="s">
        <v>20</v>
      </c>
      <c r="J129" s="243" t="s">
        <v>67</v>
      </c>
      <c r="K129" s="313"/>
      <c r="L129" s="238" t="s">
        <v>542</v>
      </c>
      <c r="M129" s="238" t="s">
        <v>513</v>
      </c>
      <c r="N129" s="313" t="s">
        <v>15</v>
      </c>
      <c r="O129" s="312" t="s">
        <v>407</v>
      </c>
      <c r="P129" s="238" t="s">
        <v>512</v>
      </c>
      <c r="Q129" s="240"/>
      <c r="R129" s="236"/>
      <c r="S129" s="216"/>
      <c r="T129" s="216">
        <v>4785</v>
      </c>
      <c r="U129" s="216">
        <v>6220</v>
      </c>
      <c r="V129" s="216">
        <v>6840</v>
      </c>
      <c r="W129" s="238"/>
      <c r="X129" s="238"/>
      <c r="Y129" s="238"/>
      <c r="Z129" s="242">
        <v>9061</v>
      </c>
      <c r="AB129" s="214"/>
    </row>
    <row r="130" spans="1:28" s="50" customFormat="1">
      <c r="A130" s="244" t="s">
        <v>487</v>
      </c>
      <c r="B130" s="235">
        <v>144</v>
      </c>
      <c r="C130" s="235">
        <f t="shared" si="11"/>
        <v>18000</v>
      </c>
      <c r="D130" s="237" t="s">
        <v>25</v>
      </c>
      <c r="E130" s="235">
        <v>0.95</v>
      </c>
      <c r="F130" s="235" t="s">
        <v>8</v>
      </c>
      <c r="G130" s="235">
        <v>67</v>
      </c>
      <c r="H130" s="239"/>
      <c r="I130" s="235" t="s">
        <v>20</v>
      </c>
      <c r="J130" s="243" t="s">
        <v>68</v>
      </c>
      <c r="K130" s="313"/>
      <c r="L130" s="238" t="s">
        <v>542</v>
      </c>
      <c r="M130" s="238" t="s">
        <v>513</v>
      </c>
      <c r="N130" s="313" t="s">
        <v>15</v>
      </c>
      <c r="O130" s="312" t="s">
        <v>407</v>
      </c>
      <c r="P130" s="238" t="s">
        <v>512</v>
      </c>
      <c r="Q130" s="240"/>
      <c r="R130" s="236"/>
      <c r="S130" s="216"/>
      <c r="T130" s="216">
        <v>5775</v>
      </c>
      <c r="U130" s="216">
        <v>7510</v>
      </c>
      <c r="V130" s="216">
        <v>8260</v>
      </c>
      <c r="W130" s="238"/>
      <c r="X130" s="238"/>
      <c r="Y130" s="238"/>
      <c r="Z130" s="242">
        <v>9062</v>
      </c>
      <c r="AB130" s="214"/>
    </row>
    <row r="131" spans="1:28" s="50" customFormat="1">
      <c r="A131" s="244" t="s">
        <v>488</v>
      </c>
      <c r="B131" s="235">
        <v>186</v>
      </c>
      <c r="C131" s="235">
        <f t="shared" si="11"/>
        <v>23250</v>
      </c>
      <c r="D131" s="237" t="s">
        <v>25</v>
      </c>
      <c r="E131" s="235">
        <v>0.95</v>
      </c>
      <c r="F131" s="235" t="s">
        <v>8</v>
      </c>
      <c r="G131" s="235">
        <v>67</v>
      </c>
      <c r="H131" s="239"/>
      <c r="I131" s="235" t="s">
        <v>20</v>
      </c>
      <c r="J131" s="243" t="s">
        <v>69</v>
      </c>
      <c r="K131" s="313"/>
      <c r="L131" s="238" t="s">
        <v>542</v>
      </c>
      <c r="M131" s="238" t="s">
        <v>513</v>
      </c>
      <c r="N131" s="313" t="s">
        <v>15</v>
      </c>
      <c r="O131" s="312" t="s">
        <v>407</v>
      </c>
      <c r="P131" s="238" t="s">
        <v>512</v>
      </c>
      <c r="Q131" s="240"/>
      <c r="R131" s="236"/>
      <c r="S131" s="216"/>
      <c r="T131" s="216">
        <v>6600</v>
      </c>
      <c r="U131" s="216">
        <v>8580</v>
      </c>
      <c r="V131" s="216">
        <v>9440</v>
      </c>
      <c r="W131" s="238"/>
      <c r="X131" s="238"/>
      <c r="Y131" s="238"/>
      <c r="Z131" s="242">
        <v>9063</v>
      </c>
      <c r="AB131" s="214"/>
    </row>
    <row r="132" spans="1:28" s="50" customFormat="1">
      <c r="A132" s="244" t="s">
        <v>490</v>
      </c>
      <c r="B132" s="235">
        <v>288</v>
      </c>
      <c r="C132" s="235">
        <f t="shared" si="11"/>
        <v>36000</v>
      </c>
      <c r="D132" s="237" t="s">
        <v>25</v>
      </c>
      <c r="E132" s="235">
        <v>0.95</v>
      </c>
      <c r="F132" s="235" t="s">
        <v>8</v>
      </c>
      <c r="G132" s="235">
        <v>67</v>
      </c>
      <c r="H132" s="239"/>
      <c r="I132" s="235" t="s">
        <v>20</v>
      </c>
      <c r="J132" s="243" t="s">
        <v>70</v>
      </c>
      <c r="K132" s="313"/>
      <c r="L132" s="238" t="s">
        <v>542</v>
      </c>
      <c r="M132" s="238" t="s">
        <v>513</v>
      </c>
      <c r="N132" s="313" t="s">
        <v>15</v>
      </c>
      <c r="O132" s="312" t="s">
        <v>407</v>
      </c>
      <c r="P132" s="238" t="s">
        <v>512</v>
      </c>
      <c r="Q132" s="240"/>
      <c r="R132" s="236"/>
      <c r="S132" s="216"/>
      <c r="T132" s="216">
        <v>10065</v>
      </c>
      <c r="U132" s="216">
        <v>13085</v>
      </c>
      <c r="V132" s="216">
        <v>14395</v>
      </c>
      <c r="W132" s="238"/>
      <c r="X132" s="238"/>
      <c r="Y132" s="238"/>
      <c r="Z132" s="242">
        <v>9064</v>
      </c>
      <c r="AB132" s="214"/>
    </row>
    <row r="133" spans="1:28" s="50" customFormat="1">
      <c r="A133" s="244" t="s">
        <v>498</v>
      </c>
      <c r="B133" s="235">
        <v>96</v>
      </c>
      <c r="C133" s="235">
        <f t="shared" si="11"/>
        <v>12000</v>
      </c>
      <c r="D133" s="237" t="s">
        <v>25</v>
      </c>
      <c r="E133" s="235">
        <v>0.95</v>
      </c>
      <c r="F133" s="235" t="s">
        <v>19</v>
      </c>
      <c r="G133" s="235">
        <v>67</v>
      </c>
      <c r="H133" s="239"/>
      <c r="I133" s="235" t="s">
        <v>20</v>
      </c>
      <c r="J133" s="243" t="s">
        <v>75</v>
      </c>
      <c r="K133" s="313"/>
      <c r="L133" s="238" t="s">
        <v>542</v>
      </c>
      <c r="M133" s="238" t="s">
        <v>513</v>
      </c>
      <c r="N133" s="313" t="s">
        <v>15</v>
      </c>
      <c r="O133" s="312" t="s">
        <v>407</v>
      </c>
      <c r="P133" s="238" t="s">
        <v>512</v>
      </c>
      <c r="Q133" s="240"/>
      <c r="R133" s="236"/>
      <c r="S133" s="216"/>
      <c r="T133" s="216">
        <v>4785</v>
      </c>
      <c r="U133" s="216">
        <v>6220</v>
      </c>
      <c r="V133" s="216">
        <v>6840</v>
      </c>
      <c r="W133" s="238"/>
      <c r="X133" s="238"/>
      <c r="Y133" s="238"/>
      <c r="Z133" s="242">
        <v>9065</v>
      </c>
      <c r="AB133" s="214"/>
    </row>
    <row r="134" spans="1:28" s="50" customFormat="1">
      <c r="A134" s="244" t="s">
        <v>499</v>
      </c>
      <c r="B134" s="235">
        <v>144</v>
      </c>
      <c r="C134" s="235">
        <f t="shared" ref="C134:C136" si="12">B134*125</f>
        <v>18000</v>
      </c>
      <c r="D134" s="237" t="s">
        <v>25</v>
      </c>
      <c r="E134" s="235">
        <v>0.95</v>
      </c>
      <c r="F134" s="235" t="s">
        <v>19</v>
      </c>
      <c r="G134" s="235">
        <v>67</v>
      </c>
      <c r="H134" s="239"/>
      <c r="I134" s="235" t="s">
        <v>20</v>
      </c>
      <c r="J134" s="243" t="s">
        <v>76</v>
      </c>
      <c r="K134" s="313"/>
      <c r="L134" s="238" t="s">
        <v>542</v>
      </c>
      <c r="M134" s="238" t="s">
        <v>513</v>
      </c>
      <c r="N134" s="313" t="s">
        <v>15</v>
      </c>
      <c r="O134" s="312" t="s">
        <v>407</v>
      </c>
      <c r="P134" s="238" t="s">
        <v>512</v>
      </c>
      <c r="Q134" s="240"/>
      <c r="R134" s="236"/>
      <c r="S134" s="216"/>
      <c r="T134" s="216">
        <v>5775</v>
      </c>
      <c r="U134" s="216">
        <v>7510</v>
      </c>
      <c r="V134" s="216">
        <v>8260</v>
      </c>
      <c r="W134" s="238"/>
      <c r="X134" s="238"/>
      <c r="Y134" s="238"/>
      <c r="Z134" s="242">
        <v>9066</v>
      </c>
      <c r="AB134" s="214"/>
    </row>
    <row r="135" spans="1:28" s="50" customFormat="1">
      <c r="A135" s="244" t="s">
        <v>500</v>
      </c>
      <c r="B135" s="235">
        <v>186</v>
      </c>
      <c r="C135" s="235">
        <f t="shared" si="12"/>
        <v>23250</v>
      </c>
      <c r="D135" s="237" t="s">
        <v>25</v>
      </c>
      <c r="E135" s="235">
        <v>0.95</v>
      </c>
      <c r="F135" s="235" t="s">
        <v>19</v>
      </c>
      <c r="G135" s="235">
        <v>67</v>
      </c>
      <c r="H135" s="239"/>
      <c r="I135" s="235" t="s">
        <v>20</v>
      </c>
      <c r="J135" s="243" t="s">
        <v>77</v>
      </c>
      <c r="K135" s="313"/>
      <c r="L135" s="238" t="s">
        <v>542</v>
      </c>
      <c r="M135" s="238" t="s">
        <v>513</v>
      </c>
      <c r="N135" s="313" t="s">
        <v>15</v>
      </c>
      <c r="O135" s="312" t="s">
        <v>407</v>
      </c>
      <c r="P135" s="238" t="s">
        <v>512</v>
      </c>
      <c r="Q135" s="240"/>
      <c r="R135" s="236"/>
      <c r="S135" s="216"/>
      <c r="T135" s="216">
        <v>6600</v>
      </c>
      <c r="U135" s="216">
        <v>8580</v>
      </c>
      <c r="V135" s="216">
        <v>9440</v>
      </c>
      <c r="W135" s="238"/>
      <c r="X135" s="238"/>
      <c r="Y135" s="238"/>
      <c r="Z135" s="242">
        <v>9067</v>
      </c>
      <c r="AB135" s="214"/>
    </row>
    <row r="136" spans="1:28" s="50" customFormat="1">
      <c r="A136" s="244" t="s">
        <v>502</v>
      </c>
      <c r="B136" s="235">
        <v>288</v>
      </c>
      <c r="C136" s="235">
        <f t="shared" si="12"/>
        <v>36000</v>
      </c>
      <c r="D136" s="237" t="s">
        <v>25</v>
      </c>
      <c r="E136" s="235">
        <v>0.95</v>
      </c>
      <c r="F136" s="235" t="s">
        <v>19</v>
      </c>
      <c r="G136" s="235">
        <v>67</v>
      </c>
      <c r="H136" s="239"/>
      <c r="I136" s="235" t="s">
        <v>20</v>
      </c>
      <c r="J136" s="243" t="s">
        <v>78</v>
      </c>
      <c r="K136" s="313"/>
      <c r="L136" s="238" t="s">
        <v>542</v>
      </c>
      <c r="M136" s="238" t="s">
        <v>513</v>
      </c>
      <c r="N136" s="313" t="s">
        <v>15</v>
      </c>
      <c r="O136" s="312" t="s">
        <v>407</v>
      </c>
      <c r="P136" s="238" t="s">
        <v>512</v>
      </c>
      <c r="Q136" s="240"/>
      <c r="R136" s="236"/>
      <c r="S136" s="216"/>
      <c r="T136" s="216">
        <v>10065</v>
      </c>
      <c r="U136" s="216">
        <v>13085</v>
      </c>
      <c r="V136" s="216">
        <v>14395</v>
      </c>
      <c r="W136" s="238"/>
      <c r="X136" s="238"/>
      <c r="Y136" s="238"/>
      <c r="Z136" s="242">
        <v>9068</v>
      </c>
      <c r="AB136" s="214"/>
    </row>
    <row r="137" spans="1:28" s="69" customFormat="1" ht="13.8">
      <c r="A137" s="65" t="s">
        <v>146</v>
      </c>
      <c r="B137" s="66">
        <v>27</v>
      </c>
      <c r="C137" s="66">
        <f>B137*145</f>
        <v>3915</v>
      </c>
      <c r="D137" s="67" t="s">
        <v>25</v>
      </c>
      <c r="E137" s="66">
        <v>0.95</v>
      </c>
      <c r="F137" s="66" t="s">
        <v>26</v>
      </c>
      <c r="G137" s="66">
        <v>67</v>
      </c>
      <c r="H137" s="83" t="s">
        <v>314</v>
      </c>
      <c r="I137" s="66" t="s">
        <v>20</v>
      </c>
      <c r="J137" s="94" t="s">
        <v>386</v>
      </c>
      <c r="K137" s="314"/>
      <c r="L137" s="94" t="s">
        <v>278</v>
      </c>
      <c r="M137" s="94" t="s">
        <v>513</v>
      </c>
      <c r="N137" s="314" t="s">
        <v>15</v>
      </c>
      <c r="O137" s="315" t="s">
        <v>280</v>
      </c>
      <c r="P137" s="84" t="s">
        <v>99</v>
      </c>
      <c r="Q137" s="68"/>
      <c r="R137" s="217"/>
      <c r="S137" s="217"/>
      <c r="T137" s="217">
        <v>2245</v>
      </c>
      <c r="U137" s="217">
        <v>2920</v>
      </c>
      <c r="V137" s="217">
        <v>3210</v>
      </c>
      <c r="W137" s="217"/>
      <c r="X137" s="217"/>
      <c r="Y137" s="217"/>
      <c r="Z137" s="217">
        <v>2001</v>
      </c>
      <c r="AA137" s="217"/>
      <c r="AB137" s="217"/>
    </row>
    <row r="138" spans="1:28" s="69" customFormat="1" ht="13.8">
      <c r="A138" s="65" t="s">
        <v>147</v>
      </c>
      <c r="B138" s="66">
        <v>53</v>
      </c>
      <c r="C138" s="66">
        <f>B138*145</f>
        <v>7685</v>
      </c>
      <c r="D138" s="67" t="s">
        <v>25</v>
      </c>
      <c r="E138" s="66">
        <v>0.95</v>
      </c>
      <c r="F138" s="66" t="s">
        <v>26</v>
      </c>
      <c r="G138" s="66">
        <v>67</v>
      </c>
      <c r="H138" s="83" t="s">
        <v>314</v>
      </c>
      <c r="I138" s="66" t="s">
        <v>20</v>
      </c>
      <c r="J138" s="94" t="s">
        <v>85</v>
      </c>
      <c r="K138" s="314"/>
      <c r="L138" s="94" t="s">
        <v>278</v>
      </c>
      <c r="M138" s="94" t="s">
        <v>513</v>
      </c>
      <c r="N138" s="314" t="s">
        <v>15</v>
      </c>
      <c r="O138" s="315" t="s">
        <v>280</v>
      </c>
      <c r="P138" s="84" t="s">
        <v>99</v>
      </c>
      <c r="Q138" s="68"/>
      <c r="R138" s="217"/>
      <c r="S138" s="217"/>
      <c r="T138" s="217">
        <v>3525</v>
      </c>
      <c r="U138" s="217">
        <v>4585</v>
      </c>
      <c r="V138" s="217">
        <v>5045</v>
      </c>
      <c r="W138" s="217"/>
      <c r="X138" s="217"/>
      <c r="Y138" s="217"/>
      <c r="Z138" s="217">
        <v>2002</v>
      </c>
      <c r="AA138" s="217"/>
      <c r="AB138" s="217"/>
    </row>
    <row r="139" spans="1:28" s="69" customFormat="1" ht="13.8">
      <c r="A139" s="65" t="s">
        <v>148</v>
      </c>
      <c r="B139" s="66">
        <v>79</v>
      </c>
      <c r="C139" s="66">
        <f t="shared" ref="C139:C214" si="13">B139*145</f>
        <v>11455</v>
      </c>
      <c r="D139" s="67" t="s">
        <v>25</v>
      </c>
      <c r="E139" s="66">
        <v>0.95</v>
      </c>
      <c r="F139" s="66" t="s">
        <v>26</v>
      </c>
      <c r="G139" s="66">
        <v>67</v>
      </c>
      <c r="H139" s="83" t="s">
        <v>314</v>
      </c>
      <c r="I139" s="66" t="s">
        <v>20</v>
      </c>
      <c r="J139" s="84" t="s">
        <v>399</v>
      </c>
      <c r="K139" s="314"/>
      <c r="L139" s="94" t="s">
        <v>278</v>
      </c>
      <c r="M139" s="94" t="s">
        <v>513</v>
      </c>
      <c r="N139" s="314" t="s">
        <v>15</v>
      </c>
      <c r="O139" s="315" t="s">
        <v>280</v>
      </c>
      <c r="P139" s="84" t="s">
        <v>99</v>
      </c>
      <c r="Q139" s="68"/>
      <c r="R139" s="217"/>
      <c r="S139" s="217"/>
      <c r="T139" s="217">
        <v>5190</v>
      </c>
      <c r="U139" s="217">
        <v>6745</v>
      </c>
      <c r="V139" s="217">
        <v>7420</v>
      </c>
      <c r="W139" s="217"/>
      <c r="X139" s="217"/>
      <c r="Y139" s="217"/>
      <c r="Z139" s="217">
        <v>2003</v>
      </c>
      <c r="AA139" s="217"/>
      <c r="AB139" s="217"/>
    </row>
    <row r="140" spans="1:28" s="69" customFormat="1" ht="13.8">
      <c r="A140" s="65" t="s">
        <v>149</v>
      </c>
      <c r="B140" s="66">
        <v>27</v>
      </c>
      <c r="C140" s="66">
        <f t="shared" si="13"/>
        <v>3915</v>
      </c>
      <c r="D140" s="67" t="s">
        <v>25</v>
      </c>
      <c r="E140" s="66">
        <v>0.95</v>
      </c>
      <c r="F140" s="66" t="s">
        <v>27</v>
      </c>
      <c r="G140" s="66">
        <v>67</v>
      </c>
      <c r="H140" s="83" t="s">
        <v>314</v>
      </c>
      <c r="I140" s="66" t="s">
        <v>20</v>
      </c>
      <c r="J140" s="94" t="s">
        <v>386</v>
      </c>
      <c r="K140" s="314"/>
      <c r="L140" s="94" t="s">
        <v>278</v>
      </c>
      <c r="M140" s="94" t="s">
        <v>513</v>
      </c>
      <c r="N140" s="314" t="s">
        <v>15</v>
      </c>
      <c r="O140" s="315" t="s">
        <v>280</v>
      </c>
      <c r="P140" s="84" t="s">
        <v>99</v>
      </c>
      <c r="Q140" s="68"/>
      <c r="R140" s="217"/>
      <c r="S140" s="217"/>
      <c r="T140" s="217">
        <v>2245</v>
      </c>
      <c r="U140" s="217">
        <v>2920</v>
      </c>
      <c r="V140" s="217">
        <v>3210</v>
      </c>
      <c r="W140" s="217"/>
      <c r="X140" s="217"/>
      <c r="Y140" s="217"/>
      <c r="Z140" s="217">
        <v>2004</v>
      </c>
      <c r="AA140" s="217"/>
      <c r="AB140" s="217"/>
    </row>
    <row r="141" spans="1:28" s="69" customFormat="1" ht="13.8">
      <c r="A141" s="65" t="s">
        <v>150</v>
      </c>
      <c r="B141" s="66">
        <v>53</v>
      </c>
      <c r="C141" s="66">
        <f t="shared" si="13"/>
        <v>7685</v>
      </c>
      <c r="D141" s="67" t="s">
        <v>25</v>
      </c>
      <c r="E141" s="66">
        <v>0.95</v>
      </c>
      <c r="F141" s="66" t="s">
        <v>27</v>
      </c>
      <c r="G141" s="66">
        <v>67</v>
      </c>
      <c r="H141" s="83" t="s">
        <v>314</v>
      </c>
      <c r="I141" s="66" t="s">
        <v>20</v>
      </c>
      <c r="J141" s="94" t="s">
        <v>85</v>
      </c>
      <c r="K141" s="314"/>
      <c r="L141" s="94" t="s">
        <v>278</v>
      </c>
      <c r="M141" s="94" t="s">
        <v>513</v>
      </c>
      <c r="N141" s="314" t="s">
        <v>15</v>
      </c>
      <c r="O141" s="315" t="s">
        <v>280</v>
      </c>
      <c r="P141" s="84" t="s">
        <v>99</v>
      </c>
      <c r="Q141" s="68"/>
      <c r="R141" s="217"/>
      <c r="S141" s="217"/>
      <c r="T141" s="217">
        <v>3525</v>
      </c>
      <c r="U141" s="217">
        <v>4585</v>
      </c>
      <c r="V141" s="217">
        <v>5045</v>
      </c>
      <c r="W141" s="217"/>
      <c r="X141" s="217"/>
      <c r="Y141" s="217"/>
      <c r="Z141" s="217">
        <v>2005</v>
      </c>
      <c r="AA141" s="217"/>
      <c r="AB141" s="217"/>
    </row>
    <row r="142" spans="1:28" s="69" customFormat="1" ht="13.8">
      <c r="A142" s="65" t="s">
        <v>151</v>
      </c>
      <c r="B142" s="66">
        <v>79</v>
      </c>
      <c r="C142" s="66">
        <f t="shared" si="13"/>
        <v>11455</v>
      </c>
      <c r="D142" s="67" t="s">
        <v>25</v>
      </c>
      <c r="E142" s="66">
        <v>0.95</v>
      </c>
      <c r="F142" s="66" t="s">
        <v>27</v>
      </c>
      <c r="G142" s="66">
        <v>67</v>
      </c>
      <c r="H142" s="83" t="s">
        <v>314</v>
      </c>
      <c r="I142" s="66" t="s">
        <v>20</v>
      </c>
      <c r="J142" s="84" t="s">
        <v>399</v>
      </c>
      <c r="K142" s="314"/>
      <c r="L142" s="94" t="s">
        <v>278</v>
      </c>
      <c r="M142" s="94" t="s">
        <v>513</v>
      </c>
      <c r="N142" s="314" t="s">
        <v>15</v>
      </c>
      <c r="O142" s="315" t="s">
        <v>280</v>
      </c>
      <c r="P142" s="84" t="s">
        <v>99</v>
      </c>
      <c r="Q142" s="68"/>
      <c r="R142" s="217"/>
      <c r="S142" s="217"/>
      <c r="T142" s="217">
        <v>5190</v>
      </c>
      <c r="U142" s="217">
        <v>6745</v>
      </c>
      <c r="V142" s="217">
        <v>7420</v>
      </c>
      <c r="W142" s="217"/>
      <c r="X142" s="217"/>
      <c r="Y142" s="217"/>
      <c r="Z142" s="217">
        <v>2006</v>
      </c>
      <c r="AA142" s="217"/>
      <c r="AB142" s="217"/>
    </row>
    <row r="143" spans="1:28" s="69" customFormat="1" ht="13.8">
      <c r="A143" s="65" t="s">
        <v>152</v>
      </c>
      <c r="B143" s="66">
        <v>27</v>
      </c>
      <c r="C143" s="66">
        <f t="shared" si="13"/>
        <v>3915</v>
      </c>
      <c r="D143" s="67" t="s">
        <v>25</v>
      </c>
      <c r="E143" s="66">
        <v>0.95</v>
      </c>
      <c r="F143" s="66" t="s">
        <v>28</v>
      </c>
      <c r="G143" s="66">
        <v>67</v>
      </c>
      <c r="H143" s="83" t="s">
        <v>314</v>
      </c>
      <c r="I143" s="66" t="s">
        <v>20</v>
      </c>
      <c r="J143" s="94" t="s">
        <v>386</v>
      </c>
      <c r="K143" s="314"/>
      <c r="L143" s="94" t="s">
        <v>278</v>
      </c>
      <c r="M143" s="94" t="s">
        <v>513</v>
      </c>
      <c r="N143" s="314" t="s">
        <v>15</v>
      </c>
      <c r="O143" s="315" t="s">
        <v>280</v>
      </c>
      <c r="P143" s="84" t="s">
        <v>99</v>
      </c>
      <c r="Q143" s="68"/>
      <c r="R143" s="217"/>
      <c r="S143" s="217"/>
      <c r="T143" s="217">
        <v>2245</v>
      </c>
      <c r="U143" s="217">
        <v>2920</v>
      </c>
      <c r="V143" s="217">
        <v>3210</v>
      </c>
      <c r="W143" s="217"/>
      <c r="X143" s="217"/>
      <c r="Y143" s="217"/>
      <c r="Z143" s="217">
        <v>2007</v>
      </c>
      <c r="AA143" s="217"/>
      <c r="AB143" s="217"/>
    </row>
    <row r="144" spans="1:28" s="69" customFormat="1" ht="13.8">
      <c r="A144" s="65" t="s">
        <v>153</v>
      </c>
      <c r="B144" s="66">
        <v>53</v>
      </c>
      <c r="C144" s="66">
        <f t="shared" si="13"/>
        <v>7685</v>
      </c>
      <c r="D144" s="67" t="s">
        <v>25</v>
      </c>
      <c r="E144" s="66">
        <v>0.95</v>
      </c>
      <c r="F144" s="66" t="s">
        <v>28</v>
      </c>
      <c r="G144" s="66">
        <v>67</v>
      </c>
      <c r="H144" s="83" t="s">
        <v>314</v>
      </c>
      <c r="I144" s="66" t="s">
        <v>20</v>
      </c>
      <c r="J144" s="94" t="s">
        <v>392</v>
      </c>
      <c r="K144" s="314"/>
      <c r="L144" s="94" t="s">
        <v>278</v>
      </c>
      <c r="M144" s="94" t="s">
        <v>513</v>
      </c>
      <c r="N144" s="314" t="s">
        <v>15</v>
      </c>
      <c r="O144" s="315" t="s">
        <v>280</v>
      </c>
      <c r="P144" s="84" t="s">
        <v>99</v>
      </c>
      <c r="Q144" s="68"/>
      <c r="R144" s="217"/>
      <c r="S144" s="217"/>
      <c r="T144" s="217">
        <v>3525</v>
      </c>
      <c r="U144" s="217">
        <v>4585</v>
      </c>
      <c r="V144" s="217">
        <v>5045</v>
      </c>
      <c r="W144" s="217"/>
      <c r="X144" s="217"/>
      <c r="Y144" s="217"/>
      <c r="Z144" s="217">
        <v>2008</v>
      </c>
      <c r="AA144" s="217"/>
      <c r="AB144" s="217"/>
    </row>
    <row r="145" spans="1:28" s="69" customFormat="1" ht="13.8">
      <c r="A145" s="65" t="s">
        <v>154</v>
      </c>
      <c r="B145" s="66">
        <v>79</v>
      </c>
      <c r="C145" s="66">
        <f t="shared" si="13"/>
        <v>11455</v>
      </c>
      <c r="D145" s="67" t="s">
        <v>25</v>
      </c>
      <c r="E145" s="66">
        <v>0.95</v>
      </c>
      <c r="F145" s="66" t="s">
        <v>28</v>
      </c>
      <c r="G145" s="66">
        <v>67</v>
      </c>
      <c r="H145" s="83" t="s">
        <v>314</v>
      </c>
      <c r="I145" s="66" t="s">
        <v>20</v>
      </c>
      <c r="J145" s="94" t="s">
        <v>399</v>
      </c>
      <c r="K145" s="314"/>
      <c r="L145" s="94" t="s">
        <v>278</v>
      </c>
      <c r="M145" s="94" t="s">
        <v>513</v>
      </c>
      <c r="N145" s="314" t="s">
        <v>15</v>
      </c>
      <c r="O145" s="315" t="s">
        <v>280</v>
      </c>
      <c r="P145" s="84" t="s">
        <v>99</v>
      </c>
      <c r="Q145" s="68"/>
      <c r="R145" s="217"/>
      <c r="S145" s="217"/>
      <c r="T145" s="217">
        <v>5190</v>
      </c>
      <c r="U145" s="217">
        <v>6745</v>
      </c>
      <c r="V145" s="217">
        <v>7420</v>
      </c>
      <c r="W145" s="217"/>
      <c r="X145" s="217"/>
      <c r="Y145" s="217"/>
      <c r="Z145" s="217">
        <v>2009</v>
      </c>
      <c r="AA145" s="217"/>
      <c r="AB145" s="217"/>
    </row>
    <row r="146" spans="1:28" s="69" customFormat="1" ht="13.8">
      <c r="A146" s="65" t="s">
        <v>155</v>
      </c>
      <c r="B146" s="66">
        <v>27</v>
      </c>
      <c r="C146" s="66">
        <f t="shared" si="13"/>
        <v>3915</v>
      </c>
      <c r="D146" s="67" t="s">
        <v>25</v>
      </c>
      <c r="E146" s="66">
        <v>0.95</v>
      </c>
      <c r="F146" s="66" t="s">
        <v>570</v>
      </c>
      <c r="G146" s="66">
        <v>67</v>
      </c>
      <c r="H146" s="83" t="s">
        <v>314</v>
      </c>
      <c r="I146" s="66" t="s">
        <v>20</v>
      </c>
      <c r="J146" s="94" t="s">
        <v>386</v>
      </c>
      <c r="K146" s="314"/>
      <c r="L146" s="94" t="s">
        <v>278</v>
      </c>
      <c r="M146" s="94" t="s">
        <v>513</v>
      </c>
      <c r="N146" s="314" t="s">
        <v>15</v>
      </c>
      <c r="O146" s="315" t="s">
        <v>280</v>
      </c>
      <c r="P146" s="84" t="s">
        <v>99</v>
      </c>
      <c r="Q146" s="68"/>
      <c r="R146" s="217"/>
      <c r="S146" s="217"/>
      <c r="T146" s="217">
        <v>2245</v>
      </c>
      <c r="U146" s="217">
        <v>2920</v>
      </c>
      <c r="V146" s="217">
        <v>3210</v>
      </c>
      <c r="W146" s="217"/>
      <c r="X146" s="217"/>
      <c r="Y146" s="217"/>
      <c r="Z146" s="217">
        <v>2010</v>
      </c>
      <c r="AA146" s="217"/>
      <c r="AB146" s="217"/>
    </row>
    <row r="147" spans="1:28" s="69" customFormat="1" ht="13.8">
      <c r="A147" s="65" t="s">
        <v>156</v>
      </c>
      <c r="B147" s="66">
        <v>53</v>
      </c>
      <c r="C147" s="66">
        <f t="shared" si="13"/>
        <v>7685</v>
      </c>
      <c r="D147" s="67" t="s">
        <v>25</v>
      </c>
      <c r="E147" s="66">
        <v>0.95</v>
      </c>
      <c r="F147" s="66" t="s">
        <v>570</v>
      </c>
      <c r="G147" s="66">
        <v>67</v>
      </c>
      <c r="H147" s="83" t="s">
        <v>314</v>
      </c>
      <c r="I147" s="66" t="s">
        <v>20</v>
      </c>
      <c r="J147" s="94" t="s">
        <v>392</v>
      </c>
      <c r="K147" s="314"/>
      <c r="L147" s="94" t="s">
        <v>278</v>
      </c>
      <c r="M147" s="94" t="s">
        <v>513</v>
      </c>
      <c r="N147" s="314" t="s">
        <v>15</v>
      </c>
      <c r="O147" s="315" t="s">
        <v>280</v>
      </c>
      <c r="P147" s="84" t="s">
        <v>99</v>
      </c>
      <c r="Q147" s="68"/>
      <c r="R147" s="217"/>
      <c r="S147" s="217"/>
      <c r="T147" s="217">
        <v>3525</v>
      </c>
      <c r="U147" s="217">
        <v>4585</v>
      </c>
      <c r="V147" s="217">
        <v>5045</v>
      </c>
      <c r="W147" s="217"/>
      <c r="X147" s="217"/>
      <c r="Y147" s="217"/>
      <c r="Z147" s="217">
        <v>2011</v>
      </c>
      <c r="AA147" s="217"/>
      <c r="AB147" s="217"/>
    </row>
    <row r="148" spans="1:28" s="69" customFormat="1" ht="13.8">
      <c r="A148" s="65" t="s">
        <v>157</v>
      </c>
      <c r="B148" s="66">
        <v>79</v>
      </c>
      <c r="C148" s="66">
        <f t="shared" si="13"/>
        <v>11455</v>
      </c>
      <c r="D148" s="67" t="s">
        <v>25</v>
      </c>
      <c r="E148" s="66">
        <v>0.95</v>
      </c>
      <c r="F148" s="66" t="s">
        <v>570</v>
      </c>
      <c r="G148" s="66">
        <v>67</v>
      </c>
      <c r="H148" s="83" t="s">
        <v>314</v>
      </c>
      <c r="I148" s="66" t="s">
        <v>20</v>
      </c>
      <c r="J148" s="94" t="s">
        <v>399</v>
      </c>
      <c r="K148" s="314"/>
      <c r="L148" s="94" t="s">
        <v>278</v>
      </c>
      <c r="M148" s="94" t="s">
        <v>513</v>
      </c>
      <c r="N148" s="314" t="s">
        <v>15</v>
      </c>
      <c r="O148" s="315" t="s">
        <v>280</v>
      </c>
      <c r="P148" s="84" t="s">
        <v>99</v>
      </c>
      <c r="Q148" s="68"/>
      <c r="R148" s="217"/>
      <c r="S148" s="217"/>
      <c r="T148" s="217">
        <v>5190</v>
      </c>
      <c r="U148" s="217">
        <v>6745</v>
      </c>
      <c r="V148" s="217">
        <v>7420</v>
      </c>
      <c r="W148" s="217"/>
      <c r="X148" s="217"/>
      <c r="Y148" s="217"/>
      <c r="Z148" s="217">
        <v>2012</v>
      </c>
      <c r="AA148" s="217"/>
      <c r="AB148" s="217"/>
    </row>
    <row r="149" spans="1:28" s="69" customFormat="1" ht="13.8">
      <c r="A149" s="65" t="s">
        <v>158</v>
      </c>
      <c r="B149" s="66">
        <v>54</v>
      </c>
      <c r="C149" s="66">
        <f t="shared" si="13"/>
        <v>7830</v>
      </c>
      <c r="D149" s="67" t="s">
        <v>25</v>
      </c>
      <c r="E149" s="66">
        <v>0.95</v>
      </c>
      <c r="F149" s="66" t="s">
        <v>26</v>
      </c>
      <c r="G149" s="66">
        <v>67</v>
      </c>
      <c r="H149" s="83" t="s">
        <v>314</v>
      </c>
      <c r="I149" s="66" t="s">
        <v>20</v>
      </c>
      <c r="J149" s="94" t="s">
        <v>387</v>
      </c>
      <c r="K149" s="314"/>
      <c r="L149" s="94" t="s">
        <v>278</v>
      </c>
      <c r="M149" s="94" t="s">
        <v>513</v>
      </c>
      <c r="N149" s="314" t="s">
        <v>15</v>
      </c>
      <c r="O149" s="315" t="s">
        <v>280</v>
      </c>
      <c r="P149" s="84" t="s">
        <v>99</v>
      </c>
      <c r="Q149" s="68"/>
      <c r="R149" s="217"/>
      <c r="S149" s="216"/>
      <c r="T149" s="216">
        <v>4490</v>
      </c>
      <c r="U149" s="216">
        <v>5835</v>
      </c>
      <c r="V149" s="216">
        <v>6420</v>
      </c>
      <c r="W149" s="216"/>
      <c r="X149" s="216"/>
      <c r="Y149" s="216"/>
      <c r="Z149" s="216">
        <v>2013</v>
      </c>
    </row>
    <row r="150" spans="1:28" s="69" customFormat="1" ht="13.8">
      <c r="A150" s="65" t="s">
        <v>159</v>
      </c>
      <c r="B150" s="66">
        <v>106</v>
      </c>
      <c r="C150" s="66">
        <f t="shared" si="13"/>
        <v>15370</v>
      </c>
      <c r="D150" s="67" t="s">
        <v>25</v>
      </c>
      <c r="E150" s="66">
        <v>0.95</v>
      </c>
      <c r="F150" s="66" t="s">
        <v>26</v>
      </c>
      <c r="G150" s="66">
        <v>67</v>
      </c>
      <c r="H150" s="83" t="s">
        <v>314</v>
      </c>
      <c r="I150" s="66" t="s">
        <v>20</v>
      </c>
      <c r="J150" s="94" t="s">
        <v>394</v>
      </c>
      <c r="K150" s="314"/>
      <c r="L150" s="94" t="s">
        <v>278</v>
      </c>
      <c r="M150" s="94" t="s">
        <v>513</v>
      </c>
      <c r="N150" s="314" t="s">
        <v>15</v>
      </c>
      <c r="O150" s="315" t="s">
        <v>280</v>
      </c>
      <c r="P150" s="84" t="s">
        <v>99</v>
      </c>
      <c r="Q150" s="68"/>
      <c r="R150" s="217"/>
      <c r="S150" s="216"/>
      <c r="T150" s="216">
        <v>7055</v>
      </c>
      <c r="U150" s="216">
        <v>9170</v>
      </c>
      <c r="V150" s="216">
        <v>10085</v>
      </c>
      <c r="W150" s="216"/>
      <c r="X150" s="216"/>
      <c r="Y150" s="216"/>
      <c r="Z150" s="216">
        <v>2014</v>
      </c>
    </row>
    <row r="151" spans="1:28" s="69" customFormat="1" ht="13.8">
      <c r="A151" s="70" t="s">
        <v>160</v>
      </c>
      <c r="B151" s="66">
        <v>158</v>
      </c>
      <c r="C151" s="66">
        <f t="shared" si="13"/>
        <v>22910</v>
      </c>
      <c r="D151" s="67" t="s">
        <v>25</v>
      </c>
      <c r="E151" s="66">
        <v>0.95</v>
      </c>
      <c r="F151" s="66" t="s">
        <v>26</v>
      </c>
      <c r="G151" s="66">
        <v>67</v>
      </c>
      <c r="H151" s="83" t="s">
        <v>314</v>
      </c>
      <c r="I151" s="66" t="s">
        <v>20</v>
      </c>
      <c r="J151" s="94" t="s">
        <v>401</v>
      </c>
      <c r="K151" s="314"/>
      <c r="L151" s="94" t="s">
        <v>278</v>
      </c>
      <c r="M151" s="94" t="s">
        <v>513</v>
      </c>
      <c r="N151" s="314" t="s">
        <v>15</v>
      </c>
      <c r="O151" s="315" t="s">
        <v>280</v>
      </c>
      <c r="P151" s="84" t="s">
        <v>99</v>
      </c>
      <c r="Q151" s="68"/>
      <c r="R151" s="217"/>
      <c r="S151" s="216"/>
      <c r="T151" s="216">
        <v>10390</v>
      </c>
      <c r="U151" s="216">
        <v>13505</v>
      </c>
      <c r="V151" s="216">
        <v>14855</v>
      </c>
      <c r="W151" s="216"/>
      <c r="X151" s="216"/>
      <c r="Y151" s="216"/>
      <c r="Z151" s="216">
        <v>2015</v>
      </c>
    </row>
    <row r="152" spans="1:28" s="69" customFormat="1" ht="13.8">
      <c r="A152" s="65" t="s">
        <v>161</v>
      </c>
      <c r="B152" s="66">
        <v>54</v>
      </c>
      <c r="C152" s="66">
        <f t="shared" si="13"/>
        <v>7830</v>
      </c>
      <c r="D152" s="67" t="s">
        <v>25</v>
      </c>
      <c r="E152" s="66">
        <v>0.95</v>
      </c>
      <c r="F152" s="66" t="s">
        <v>27</v>
      </c>
      <c r="G152" s="66">
        <v>67</v>
      </c>
      <c r="H152" s="83" t="s">
        <v>314</v>
      </c>
      <c r="I152" s="66" t="s">
        <v>20</v>
      </c>
      <c r="J152" s="94" t="s">
        <v>387</v>
      </c>
      <c r="K152" s="314"/>
      <c r="L152" s="94" t="s">
        <v>278</v>
      </c>
      <c r="M152" s="94" t="s">
        <v>513</v>
      </c>
      <c r="N152" s="314" t="s">
        <v>15</v>
      </c>
      <c r="O152" s="315" t="s">
        <v>280</v>
      </c>
      <c r="P152" s="84" t="s">
        <v>99</v>
      </c>
      <c r="Q152" s="68"/>
      <c r="R152" s="217"/>
      <c r="S152" s="216"/>
      <c r="T152" s="216">
        <v>4490</v>
      </c>
      <c r="U152" s="216">
        <v>5835</v>
      </c>
      <c r="V152" s="216">
        <v>6420</v>
      </c>
      <c r="W152" s="216"/>
      <c r="X152" s="216"/>
      <c r="Y152" s="216"/>
      <c r="Z152" s="216">
        <v>2016</v>
      </c>
    </row>
    <row r="153" spans="1:28" s="69" customFormat="1" ht="13.8">
      <c r="A153" s="65" t="s">
        <v>162</v>
      </c>
      <c r="B153" s="66">
        <v>106</v>
      </c>
      <c r="C153" s="66">
        <f t="shared" si="13"/>
        <v>15370</v>
      </c>
      <c r="D153" s="67" t="s">
        <v>25</v>
      </c>
      <c r="E153" s="66">
        <v>0.95</v>
      </c>
      <c r="F153" s="66" t="s">
        <v>27</v>
      </c>
      <c r="G153" s="66">
        <v>67</v>
      </c>
      <c r="H153" s="83" t="s">
        <v>314</v>
      </c>
      <c r="I153" s="66" t="s">
        <v>20</v>
      </c>
      <c r="J153" s="94" t="s">
        <v>394</v>
      </c>
      <c r="K153" s="314"/>
      <c r="L153" s="94" t="s">
        <v>278</v>
      </c>
      <c r="M153" s="94" t="s">
        <v>513</v>
      </c>
      <c r="N153" s="314" t="s">
        <v>15</v>
      </c>
      <c r="O153" s="315" t="s">
        <v>280</v>
      </c>
      <c r="P153" s="84" t="s">
        <v>99</v>
      </c>
      <c r="Q153" s="68"/>
      <c r="R153" s="217"/>
      <c r="S153" s="216"/>
      <c r="T153" s="216">
        <v>7055</v>
      </c>
      <c r="U153" s="216">
        <v>9170</v>
      </c>
      <c r="V153" s="216">
        <v>10085</v>
      </c>
      <c r="W153" s="216"/>
      <c r="X153" s="216"/>
      <c r="Y153" s="216"/>
      <c r="Z153" s="216">
        <v>2017</v>
      </c>
    </row>
    <row r="154" spans="1:28" s="69" customFormat="1" ht="13.8">
      <c r="A154" s="65" t="s">
        <v>163</v>
      </c>
      <c r="B154" s="66">
        <v>158</v>
      </c>
      <c r="C154" s="66">
        <f t="shared" si="13"/>
        <v>22910</v>
      </c>
      <c r="D154" s="67" t="s">
        <v>25</v>
      </c>
      <c r="E154" s="66">
        <v>0.95</v>
      </c>
      <c r="F154" s="66" t="s">
        <v>27</v>
      </c>
      <c r="G154" s="66">
        <v>67</v>
      </c>
      <c r="H154" s="83" t="s">
        <v>314</v>
      </c>
      <c r="I154" s="66" t="s">
        <v>20</v>
      </c>
      <c r="J154" s="94" t="s">
        <v>401</v>
      </c>
      <c r="K154" s="314"/>
      <c r="L154" s="94" t="s">
        <v>278</v>
      </c>
      <c r="M154" s="94" t="s">
        <v>513</v>
      </c>
      <c r="N154" s="314" t="s">
        <v>15</v>
      </c>
      <c r="O154" s="315" t="s">
        <v>280</v>
      </c>
      <c r="P154" s="84" t="s">
        <v>99</v>
      </c>
      <c r="Q154" s="68"/>
      <c r="R154" s="217"/>
      <c r="S154" s="216"/>
      <c r="T154" s="216">
        <v>10390</v>
      </c>
      <c r="U154" s="216">
        <v>13505</v>
      </c>
      <c r="V154" s="216">
        <v>14855</v>
      </c>
      <c r="W154" s="216"/>
      <c r="X154" s="216"/>
      <c r="Y154" s="216"/>
      <c r="Z154" s="216">
        <v>2018</v>
      </c>
    </row>
    <row r="155" spans="1:28" s="69" customFormat="1" ht="13.8">
      <c r="A155" s="65" t="s">
        <v>164</v>
      </c>
      <c r="B155" s="66">
        <v>54</v>
      </c>
      <c r="C155" s="66">
        <f t="shared" si="13"/>
        <v>7830</v>
      </c>
      <c r="D155" s="67" t="s">
        <v>25</v>
      </c>
      <c r="E155" s="66">
        <v>0.95</v>
      </c>
      <c r="F155" s="66" t="s">
        <v>28</v>
      </c>
      <c r="G155" s="66">
        <v>67</v>
      </c>
      <c r="H155" s="83" t="s">
        <v>314</v>
      </c>
      <c r="I155" s="66" t="s">
        <v>20</v>
      </c>
      <c r="J155" s="94" t="s">
        <v>387</v>
      </c>
      <c r="K155" s="314"/>
      <c r="L155" s="94" t="s">
        <v>278</v>
      </c>
      <c r="M155" s="94" t="s">
        <v>513</v>
      </c>
      <c r="N155" s="314" t="s">
        <v>15</v>
      </c>
      <c r="O155" s="315" t="s">
        <v>280</v>
      </c>
      <c r="P155" s="84" t="s">
        <v>99</v>
      </c>
      <c r="Q155" s="68"/>
      <c r="R155" s="217"/>
      <c r="S155" s="216"/>
      <c r="T155" s="216">
        <v>4490</v>
      </c>
      <c r="U155" s="216">
        <v>5835</v>
      </c>
      <c r="V155" s="216">
        <v>6420</v>
      </c>
      <c r="W155" s="216"/>
      <c r="X155" s="216"/>
      <c r="Y155" s="216"/>
      <c r="Z155" s="216">
        <v>2019</v>
      </c>
    </row>
    <row r="156" spans="1:28" s="69" customFormat="1" ht="13.8">
      <c r="A156" s="65" t="s">
        <v>165</v>
      </c>
      <c r="B156" s="66">
        <v>106</v>
      </c>
      <c r="C156" s="66">
        <f t="shared" si="13"/>
        <v>15370</v>
      </c>
      <c r="D156" s="67" t="s">
        <v>25</v>
      </c>
      <c r="E156" s="66">
        <v>0.95</v>
      </c>
      <c r="F156" s="66" t="s">
        <v>28</v>
      </c>
      <c r="G156" s="66">
        <v>67</v>
      </c>
      <c r="H156" s="83" t="s">
        <v>314</v>
      </c>
      <c r="I156" s="66" t="s">
        <v>20</v>
      </c>
      <c r="J156" s="94" t="s">
        <v>394</v>
      </c>
      <c r="K156" s="314"/>
      <c r="L156" s="94" t="s">
        <v>278</v>
      </c>
      <c r="M156" s="94" t="s">
        <v>513</v>
      </c>
      <c r="N156" s="314" t="s">
        <v>15</v>
      </c>
      <c r="O156" s="315" t="s">
        <v>280</v>
      </c>
      <c r="P156" s="84" t="s">
        <v>99</v>
      </c>
      <c r="Q156" s="68"/>
      <c r="R156" s="217"/>
      <c r="S156" s="216"/>
      <c r="T156" s="216">
        <v>7055</v>
      </c>
      <c r="U156" s="216">
        <v>9170</v>
      </c>
      <c r="V156" s="216">
        <v>10085</v>
      </c>
      <c r="W156" s="216"/>
      <c r="X156" s="216"/>
      <c r="Y156" s="216"/>
      <c r="Z156" s="216">
        <v>2020</v>
      </c>
    </row>
    <row r="157" spans="1:28" s="69" customFormat="1" ht="13.8">
      <c r="A157" s="65" t="s">
        <v>166</v>
      </c>
      <c r="B157" s="66">
        <v>158</v>
      </c>
      <c r="C157" s="66">
        <f t="shared" si="13"/>
        <v>22910</v>
      </c>
      <c r="D157" s="67" t="s">
        <v>25</v>
      </c>
      <c r="E157" s="66">
        <v>0.95</v>
      </c>
      <c r="F157" s="66" t="s">
        <v>28</v>
      </c>
      <c r="G157" s="66">
        <v>67</v>
      </c>
      <c r="H157" s="83" t="s">
        <v>314</v>
      </c>
      <c r="I157" s="66" t="s">
        <v>20</v>
      </c>
      <c r="J157" s="94" t="s">
        <v>401</v>
      </c>
      <c r="K157" s="314"/>
      <c r="L157" s="94" t="s">
        <v>278</v>
      </c>
      <c r="M157" s="94" t="s">
        <v>513</v>
      </c>
      <c r="N157" s="314" t="s">
        <v>15</v>
      </c>
      <c r="O157" s="315" t="s">
        <v>280</v>
      </c>
      <c r="P157" s="84" t="s">
        <v>99</v>
      </c>
      <c r="Q157" s="68"/>
      <c r="R157" s="217"/>
      <c r="S157" s="216"/>
      <c r="T157" s="216">
        <v>10390</v>
      </c>
      <c r="U157" s="216">
        <v>13505</v>
      </c>
      <c r="V157" s="216">
        <v>14855</v>
      </c>
      <c r="W157" s="216"/>
      <c r="X157" s="216"/>
      <c r="Y157" s="216"/>
      <c r="Z157" s="216">
        <v>2021</v>
      </c>
    </row>
    <row r="158" spans="1:28" s="69" customFormat="1" ht="13.8">
      <c r="A158" s="65" t="s">
        <v>167</v>
      </c>
      <c r="B158" s="66">
        <v>54</v>
      </c>
      <c r="C158" s="66">
        <f t="shared" si="13"/>
        <v>7830</v>
      </c>
      <c r="D158" s="67" t="s">
        <v>25</v>
      </c>
      <c r="E158" s="66">
        <v>0.95</v>
      </c>
      <c r="F158" s="66" t="s">
        <v>570</v>
      </c>
      <c r="G158" s="66">
        <v>67</v>
      </c>
      <c r="H158" s="83" t="s">
        <v>314</v>
      </c>
      <c r="I158" s="66" t="s">
        <v>20</v>
      </c>
      <c r="J158" s="94" t="s">
        <v>387</v>
      </c>
      <c r="K158" s="314"/>
      <c r="L158" s="94" t="s">
        <v>278</v>
      </c>
      <c r="M158" s="94" t="s">
        <v>513</v>
      </c>
      <c r="N158" s="314" t="s">
        <v>15</v>
      </c>
      <c r="O158" s="315" t="s">
        <v>280</v>
      </c>
      <c r="P158" s="84" t="s">
        <v>99</v>
      </c>
      <c r="Q158" s="68"/>
      <c r="R158" s="217"/>
      <c r="S158" s="216"/>
      <c r="T158" s="216">
        <v>4490</v>
      </c>
      <c r="U158" s="216">
        <v>5835</v>
      </c>
      <c r="V158" s="216">
        <v>6420</v>
      </c>
      <c r="W158" s="216"/>
      <c r="X158" s="216"/>
      <c r="Y158" s="216"/>
      <c r="Z158" s="216">
        <v>2022</v>
      </c>
    </row>
    <row r="159" spans="1:28" s="69" customFormat="1" ht="13.8">
      <c r="A159" s="65" t="s">
        <v>168</v>
      </c>
      <c r="B159" s="66">
        <v>106</v>
      </c>
      <c r="C159" s="66">
        <f t="shared" si="13"/>
        <v>15370</v>
      </c>
      <c r="D159" s="67" t="s">
        <v>25</v>
      </c>
      <c r="E159" s="66">
        <v>0.95</v>
      </c>
      <c r="F159" s="66" t="s">
        <v>570</v>
      </c>
      <c r="G159" s="66">
        <v>67</v>
      </c>
      <c r="H159" s="83" t="s">
        <v>314</v>
      </c>
      <c r="I159" s="66" t="s">
        <v>20</v>
      </c>
      <c r="J159" s="94" t="s">
        <v>394</v>
      </c>
      <c r="K159" s="314"/>
      <c r="L159" s="94" t="s">
        <v>278</v>
      </c>
      <c r="M159" s="94" t="s">
        <v>513</v>
      </c>
      <c r="N159" s="314" t="s">
        <v>15</v>
      </c>
      <c r="O159" s="315" t="s">
        <v>280</v>
      </c>
      <c r="P159" s="84" t="s">
        <v>99</v>
      </c>
      <c r="Q159" s="68"/>
      <c r="R159" s="217"/>
      <c r="S159" s="216"/>
      <c r="T159" s="216">
        <v>7055</v>
      </c>
      <c r="U159" s="216">
        <v>9170</v>
      </c>
      <c r="V159" s="216">
        <v>10085</v>
      </c>
      <c r="W159" s="216"/>
      <c r="X159" s="216"/>
      <c r="Y159" s="216"/>
      <c r="Z159" s="216">
        <v>2023</v>
      </c>
    </row>
    <row r="160" spans="1:28" s="69" customFormat="1" ht="13.8">
      <c r="A160" s="65" t="s">
        <v>169</v>
      </c>
      <c r="B160" s="66">
        <v>158</v>
      </c>
      <c r="C160" s="66">
        <f t="shared" si="13"/>
        <v>22910</v>
      </c>
      <c r="D160" s="67" t="s">
        <v>25</v>
      </c>
      <c r="E160" s="66">
        <v>0.95</v>
      </c>
      <c r="F160" s="66" t="s">
        <v>570</v>
      </c>
      <c r="G160" s="66">
        <v>67</v>
      </c>
      <c r="H160" s="83" t="s">
        <v>314</v>
      </c>
      <c r="I160" s="66" t="s">
        <v>20</v>
      </c>
      <c r="J160" s="94" t="s">
        <v>401</v>
      </c>
      <c r="K160" s="314"/>
      <c r="L160" s="94" t="s">
        <v>278</v>
      </c>
      <c r="M160" s="94" t="s">
        <v>513</v>
      </c>
      <c r="N160" s="314" t="s">
        <v>15</v>
      </c>
      <c r="O160" s="315" t="s">
        <v>280</v>
      </c>
      <c r="P160" s="84" t="s">
        <v>99</v>
      </c>
      <c r="Q160" s="68"/>
      <c r="R160" s="217"/>
      <c r="S160" s="216"/>
      <c r="T160" s="216">
        <v>10390</v>
      </c>
      <c r="U160" s="216">
        <v>13505</v>
      </c>
      <c r="V160" s="216">
        <v>14855</v>
      </c>
      <c r="W160" s="216"/>
      <c r="X160" s="216"/>
      <c r="Y160" s="216"/>
      <c r="Z160" s="216">
        <v>2024</v>
      </c>
    </row>
    <row r="161" spans="1:28" s="69" customFormat="1" ht="13.8">
      <c r="A161" s="65" t="s">
        <v>170</v>
      </c>
      <c r="B161" s="66">
        <v>81</v>
      </c>
      <c r="C161" s="66">
        <f t="shared" si="13"/>
        <v>11745</v>
      </c>
      <c r="D161" s="67" t="s">
        <v>25</v>
      </c>
      <c r="E161" s="66">
        <v>0.95</v>
      </c>
      <c r="F161" s="66" t="s">
        <v>26</v>
      </c>
      <c r="G161" s="66">
        <v>67</v>
      </c>
      <c r="H161" s="83" t="s">
        <v>314</v>
      </c>
      <c r="I161" s="66" t="s">
        <v>20</v>
      </c>
      <c r="J161" s="94" t="s">
        <v>388</v>
      </c>
      <c r="K161" s="314"/>
      <c r="L161" s="94" t="s">
        <v>278</v>
      </c>
      <c r="M161" s="94" t="s">
        <v>513</v>
      </c>
      <c r="N161" s="314" t="s">
        <v>15</v>
      </c>
      <c r="O161" s="315" t="s">
        <v>280</v>
      </c>
      <c r="P161" s="84" t="s">
        <v>99</v>
      </c>
      <c r="Q161" s="68"/>
      <c r="R161" s="217"/>
      <c r="S161" s="216"/>
      <c r="T161" s="216">
        <v>6730</v>
      </c>
      <c r="U161" s="216">
        <v>8750</v>
      </c>
      <c r="V161" s="216">
        <v>9625</v>
      </c>
      <c r="W161" s="216"/>
      <c r="X161" s="216"/>
      <c r="Y161" s="216"/>
      <c r="Z161" s="216">
        <v>2025</v>
      </c>
    </row>
    <row r="162" spans="1:28" s="69" customFormat="1" ht="13.8">
      <c r="A162" s="65" t="s">
        <v>171</v>
      </c>
      <c r="B162" s="66">
        <v>159</v>
      </c>
      <c r="C162" s="66">
        <f t="shared" si="13"/>
        <v>23055</v>
      </c>
      <c r="D162" s="67" t="s">
        <v>25</v>
      </c>
      <c r="E162" s="66">
        <v>0.95</v>
      </c>
      <c r="F162" s="66" t="s">
        <v>26</v>
      </c>
      <c r="G162" s="66">
        <v>67</v>
      </c>
      <c r="H162" s="83" t="s">
        <v>314</v>
      </c>
      <c r="I162" s="66" t="s">
        <v>20</v>
      </c>
      <c r="J162" s="94" t="s">
        <v>396</v>
      </c>
      <c r="K162" s="314"/>
      <c r="L162" s="94" t="s">
        <v>278</v>
      </c>
      <c r="M162" s="94" t="s">
        <v>513</v>
      </c>
      <c r="N162" s="314" t="s">
        <v>15</v>
      </c>
      <c r="O162" s="315" t="s">
        <v>280</v>
      </c>
      <c r="P162" s="84" t="s">
        <v>99</v>
      </c>
      <c r="Q162" s="68"/>
      <c r="R162" s="217"/>
      <c r="S162" s="216"/>
      <c r="T162" s="216">
        <v>10580</v>
      </c>
      <c r="U162" s="216">
        <v>13755</v>
      </c>
      <c r="V162" s="216">
        <v>15130</v>
      </c>
      <c r="W162" s="216"/>
      <c r="X162" s="216"/>
      <c r="Y162" s="216"/>
      <c r="Z162" s="216">
        <v>2026</v>
      </c>
    </row>
    <row r="163" spans="1:28" s="69" customFormat="1" ht="13.8">
      <c r="A163" s="65" t="s">
        <v>172</v>
      </c>
      <c r="B163" s="66">
        <v>237</v>
      </c>
      <c r="C163" s="66">
        <f t="shared" si="13"/>
        <v>34365</v>
      </c>
      <c r="D163" s="67" t="s">
        <v>25</v>
      </c>
      <c r="E163" s="66">
        <v>0.95</v>
      </c>
      <c r="F163" s="66" t="s">
        <v>26</v>
      </c>
      <c r="G163" s="66">
        <v>67</v>
      </c>
      <c r="H163" s="83" t="s">
        <v>314</v>
      </c>
      <c r="I163" s="66" t="s">
        <v>20</v>
      </c>
      <c r="J163" s="94" t="s">
        <v>403</v>
      </c>
      <c r="K163" s="314"/>
      <c r="L163" s="94" t="s">
        <v>278</v>
      </c>
      <c r="M163" s="94" t="s">
        <v>513</v>
      </c>
      <c r="N163" s="314" t="s">
        <v>15</v>
      </c>
      <c r="O163" s="315" t="s">
        <v>280</v>
      </c>
      <c r="P163" s="84" t="s">
        <v>99</v>
      </c>
      <c r="Q163" s="68"/>
      <c r="R163" s="217"/>
      <c r="S163" s="216"/>
      <c r="T163" s="216">
        <v>15580</v>
      </c>
      <c r="U163" s="216">
        <v>20255</v>
      </c>
      <c r="V163" s="216">
        <v>22280</v>
      </c>
      <c r="W163" s="216"/>
      <c r="X163" s="216"/>
      <c r="Y163" s="216"/>
      <c r="Z163" s="216">
        <v>2027</v>
      </c>
    </row>
    <row r="164" spans="1:28" s="69" customFormat="1" ht="13.8">
      <c r="A164" s="65" t="s">
        <v>173</v>
      </c>
      <c r="B164" s="66">
        <v>81</v>
      </c>
      <c r="C164" s="66">
        <f t="shared" si="13"/>
        <v>11745</v>
      </c>
      <c r="D164" s="67" t="s">
        <v>25</v>
      </c>
      <c r="E164" s="66">
        <v>0.95</v>
      </c>
      <c r="F164" s="66" t="s">
        <v>27</v>
      </c>
      <c r="G164" s="66">
        <v>67</v>
      </c>
      <c r="H164" s="83" t="s">
        <v>314</v>
      </c>
      <c r="I164" s="66" t="s">
        <v>20</v>
      </c>
      <c r="J164" s="94" t="s">
        <v>388</v>
      </c>
      <c r="K164" s="314"/>
      <c r="L164" s="94" t="s">
        <v>278</v>
      </c>
      <c r="M164" s="94" t="s">
        <v>513</v>
      </c>
      <c r="N164" s="314" t="s">
        <v>15</v>
      </c>
      <c r="O164" s="315" t="s">
        <v>280</v>
      </c>
      <c r="P164" s="84" t="s">
        <v>99</v>
      </c>
      <c r="Q164" s="68"/>
      <c r="R164" s="217"/>
      <c r="S164" s="216"/>
      <c r="T164" s="216">
        <v>6730</v>
      </c>
      <c r="U164" s="216">
        <v>8750</v>
      </c>
      <c r="V164" s="216">
        <v>9625</v>
      </c>
      <c r="W164" s="216"/>
      <c r="X164" s="216"/>
      <c r="Y164" s="216"/>
      <c r="Z164" s="216">
        <v>2028</v>
      </c>
    </row>
    <row r="165" spans="1:28" s="69" customFormat="1" ht="13.8">
      <c r="A165" s="65" t="s">
        <v>174</v>
      </c>
      <c r="B165" s="66">
        <v>159</v>
      </c>
      <c r="C165" s="66">
        <f t="shared" si="13"/>
        <v>23055</v>
      </c>
      <c r="D165" s="67" t="s">
        <v>25</v>
      </c>
      <c r="E165" s="66">
        <v>0.95</v>
      </c>
      <c r="F165" s="66" t="s">
        <v>27</v>
      </c>
      <c r="G165" s="66">
        <v>67</v>
      </c>
      <c r="H165" s="83" t="s">
        <v>314</v>
      </c>
      <c r="I165" s="66" t="s">
        <v>20</v>
      </c>
      <c r="J165" s="94" t="s">
        <v>396</v>
      </c>
      <c r="K165" s="314"/>
      <c r="L165" s="94" t="s">
        <v>278</v>
      </c>
      <c r="M165" s="94" t="s">
        <v>513</v>
      </c>
      <c r="N165" s="314" t="s">
        <v>15</v>
      </c>
      <c r="O165" s="315" t="s">
        <v>280</v>
      </c>
      <c r="P165" s="84" t="s">
        <v>99</v>
      </c>
      <c r="Q165" s="68"/>
      <c r="R165" s="217"/>
      <c r="S165" s="216"/>
      <c r="T165" s="216">
        <v>10580</v>
      </c>
      <c r="U165" s="216">
        <v>13755</v>
      </c>
      <c r="V165" s="216">
        <v>15130</v>
      </c>
      <c r="W165" s="216"/>
      <c r="X165" s="216"/>
      <c r="Y165" s="216"/>
      <c r="Z165" s="216">
        <v>2029</v>
      </c>
    </row>
    <row r="166" spans="1:28" s="69" customFormat="1" ht="13.8">
      <c r="A166" s="65" t="s">
        <v>175</v>
      </c>
      <c r="B166" s="66">
        <v>237</v>
      </c>
      <c r="C166" s="66">
        <f t="shared" si="13"/>
        <v>34365</v>
      </c>
      <c r="D166" s="67" t="s">
        <v>25</v>
      </c>
      <c r="E166" s="66">
        <v>0.95</v>
      </c>
      <c r="F166" s="66" t="s">
        <v>27</v>
      </c>
      <c r="G166" s="66">
        <v>67</v>
      </c>
      <c r="H166" s="83" t="s">
        <v>314</v>
      </c>
      <c r="I166" s="66" t="s">
        <v>20</v>
      </c>
      <c r="J166" s="94" t="s">
        <v>403</v>
      </c>
      <c r="K166" s="314"/>
      <c r="L166" s="94" t="s">
        <v>278</v>
      </c>
      <c r="M166" s="94" t="s">
        <v>513</v>
      </c>
      <c r="N166" s="314" t="s">
        <v>15</v>
      </c>
      <c r="O166" s="315" t="s">
        <v>280</v>
      </c>
      <c r="P166" s="84" t="s">
        <v>99</v>
      </c>
      <c r="Q166" s="68"/>
      <c r="R166" s="217"/>
      <c r="S166" s="216"/>
      <c r="T166" s="216">
        <v>15580</v>
      </c>
      <c r="U166" s="216">
        <v>20255</v>
      </c>
      <c r="V166" s="216">
        <v>22280</v>
      </c>
      <c r="W166" s="216"/>
      <c r="X166" s="216"/>
      <c r="Y166" s="216"/>
      <c r="Z166" s="216">
        <v>2030</v>
      </c>
    </row>
    <row r="167" spans="1:28" s="69" customFormat="1" ht="13.8">
      <c r="A167" s="65" t="s">
        <v>176</v>
      </c>
      <c r="B167" s="66">
        <v>81</v>
      </c>
      <c r="C167" s="66">
        <f t="shared" si="13"/>
        <v>11745</v>
      </c>
      <c r="D167" s="67" t="s">
        <v>25</v>
      </c>
      <c r="E167" s="66">
        <v>0.95</v>
      </c>
      <c r="F167" s="66" t="s">
        <v>28</v>
      </c>
      <c r="G167" s="66">
        <v>67</v>
      </c>
      <c r="H167" s="83" t="s">
        <v>314</v>
      </c>
      <c r="I167" s="66" t="s">
        <v>20</v>
      </c>
      <c r="J167" s="94" t="s">
        <v>388</v>
      </c>
      <c r="K167" s="314"/>
      <c r="L167" s="94" t="s">
        <v>278</v>
      </c>
      <c r="M167" s="94" t="s">
        <v>513</v>
      </c>
      <c r="N167" s="314" t="s">
        <v>15</v>
      </c>
      <c r="O167" s="315" t="s">
        <v>280</v>
      </c>
      <c r="P167" s="84" t="s">
        <v>99</v>
      </c>
      <c r="Q167" s="68"/>
      <c r="R167" s="217"/>
      <c r="S167" s="216"/>
      <c r="T167" s="216">
        <v>6730</v>
      </c>
      <c r="U167" s="216">
        <v>8750</v>
      </c>
      <c r="V167" s="216">
        <v>9625</v>
      </c>
      <c r="W167" s="216"/>
      <c r="X167" s="216"/>
      <c r="Y167" s="216"/>
      <c r="Z167" s="216">
        <v>2031</v>
      </c>
    </row>
    <row r="168" spans="1:28" s="69" customFormat="1" ht="13.8">
      <c r="A168" s="65" t="s">
        <v>177</v>
      </c>
      <c r="B168" s="66">
        <v>159</v>
      </c>
      <c r="C168" s="66">
        <f t="shared" si="13"/>
        <v>23055</v>
      </c>
      <c r="D168" s="67" t="s">
        <v>25</v>
      </c>
      <c r="E168" s="66">
        <v>0.95</v>
      </c>
      <c r="F168" s="66" t="s">
        <v>28</v>
      </c>
      <c r="G168" s="66">
        <v>67</v>
      </c>
      <c r="H168" s="83" t="s">
        <v>314</v>
      </c>
      <c r="I168" s="66" t="s">
        <v>20</v>
      </c>
      <c r="J168" s="94" t="s">
        <v>396</v>
      </c>
      <c r="K168" s="314"/>
      <c r="L168" s="94" t="s">
        <v>278</v>
      </c>
      <c r="M168" s="94" t="s">
        <v>513</v>
      </c>
      <c r="N168" s="314" t="s">
        <v>15</v>
      </c>
      <c r="O168" s="315" t="s">
        <v>280</v>
      </c>
      <c r="P168" s="84" t="s">
        <v>99</v>
      </c>
      <c r="Q168" s="68"/>
      <c r="R168" s="217"/>
      <c r="S168" s="216"/>
      <c r="T168" s="216">
        <v>10580</v>
      </c>
      <c r="U168" s="216">
        <v>13755</v>
      </c>
      <c r="V168" s="216">
        <v>15130</v>
      </c>
      <c r="W168" s="216"/>
      <c r="X168" s="216"/>
      <c r="Y168" s="216"/>
      <c r="Z168" s="216">
        <v>2032</v>
      </c>
    </row>
    <row r="169" spans="1:28" s="69" customFormat="1" ht="13.8">
      <c r="A169" s="65" t="s">
        <v>178</v>
      </c>
      <c r="B169" s="66">
        <v>237</v>
      </c>
      <c r="C169" s="66">
        <f t="shared" si="13"/>
        <v>34365</v>
      </c>
      <c r="D169" s="67" t="s">
        <v>25</v>
      </c>
      <c r="E169" s="66">
        <v>0.95</v>
      </c>
      <c r="F169" s="66" t="s">
        <v>28</v>
      </c>
      <c r="G169" s="66">
        <v>67</v>
      </c>
      <c r="H169" s="83" t="s">
        <v>314</v>
      </c>
      <c r="I169" s="66" t="s">
        <v>20</v>
      </c>
      <c r="J169" s="94" t="s">
        <v>403</v>
      </c>
      <c r="K169" s="314"/>
      <c r="L169" s="94" t="s">
        <v>278</v>
      </c>
      <c r="M169" s="94" t="s">
        <v>513</v>
      </c>
      <c r="N169" s="314" t="s">
        <v>15</v>
      </c>
      <c r="O169" s="315" t="s">
        <v>280</v>
      </c>
      <c r="P169" s="84" t="s">
        <v>99</v>
      </c>
      <c r="Q169" s="68"/>
      <c r="R169" s="217"/>
      <c r="S169" s="216"/>
      <c r="T169" s="216">
        <v>15580</v>
      </c>
      <c r="U169" s="216">
        <v>20255</v>
      </c>
      <c r="V169" s="216">
        <v>22280</v>
      </c>
      <c r="W169" s="216"/>
      <c r="X169" s="216"/>
      <c r="Y169" s="216"/>
      <c r="Z169" s="216">
        <v>2033</v>
      </c>
    </row>
    <row r="170" spans="1:28" s="69" customFormat="1" ht="13.8">
      <c r="A170" s="65" t="s">
        <v>179</v>
      </c>
      <c r="B170" s="66">
        <v>81</v>
      </c>
      <c r="C170" s="66">
        <f t="shared" si="13"/>
        <v>11745</v>
      </c>
      <c r="D170" s="67" t="s">
        <v>25</v>
      </c>
      <c r="E170" s="66">
        <v>0.95</v>
      </c>
      <c r="F170" s="66" t="s">
        <v>570</v>
      </c>
      <c r="G170" s="66">
        <v>67</v>
      </c>
      <c r="H170" s="83" t="s">
        <v>314</v>
      </c>
      <c r="I170" s="66" t="s">
        <v>20</v>
      </c>
      <c r="J170" s="94" t="s">
        <v>388</v>
      </c>
      <c r="K170" s="314"/>
      <c r="L170" s="94" t="s">
        <v>278</v>
      </c>
      <c r="M170" s="94" t="s">
        <v>513</v>
      </c>
      <c r="N170" s="314" t="s">
        <v>15</v>
      </c>
      <c r="O170" s="315" t="s">
        <v>280</v>
      </c>
      <c r="P170" s="84" t="s">
        <v>99</v>
      </c>
      <c r="Q170" s="68"/>
      <c r="R170" s="217"/>
      <c r="S170" s="216"/>
      <c r="T170" s="216">
        <v>6730</v>
      </c>
      <c r="U170" s="216">
        <v>8750</v>
      </c>
      <c r="V170" s="216">
        <v>9625</v>
      </c>
      <c r="W170" s="216"/>
      <c r="X170" s="216"/>
      <c r="Y170" s="216"/>
      <c r="Z170" s="216">
        <v>2034</v>
      </c>
    </row>
    <row r="171" spans="1:28" s="69" customFormat="1" ht="13.8">
      <c r="A171" s="65" t="s">
        <v>180</v>
      </c>
      <c r="B171" s="66">
        <v>159</v>
      </c>
      <c r="C171" s="66">
        <f t="shared" si="13"/>
        <v>23055</v>
      </c>
      <c r="D171" s="67" t="s">
        <v>25</v>
      </c>
      <c r="E171" s="66">
        <v>0.95</v>
      </c>
      <c r="F171" s="66" t="s">
        <v>570</v>
      </c>
      <c r="G171" s="66">
        <v>67</v>
      </c>
      <c r="H171" s="83" t="s">
        <v>314</v>
      </c>
      <c r="I171" s="66" t="s">
        <v>20</v>
      </c>
      <c r="J171" s="94" t="s">
        <v>396</v>
      </c>
      <c r="K171" s="314"/>
      <c r="L171" s="94" t="s">
        <v>278</v>
      </c>
      <c r="M171" s="94" t="s">
        <v>513</v>
      </c>
      <c r="N171" s="314" t="s">
        <v>15</v>
      </c>
      <c r="O171" s="315" t="s">
        <v>280</v>
      </c>
      <c r="P171" s="84" t="s">
        <v>99</v>
      </c>
      <c r="Q171" s="68"/>
      <c r="R171" s="217"/>
      <c r="S171" s="216"/>
      <c r="T171" s="216">
        <v>10580</v>
      </c>
      <c r="U171" s="216">
        <v>13755</v>
      </c>
      <c r="V171" s="216">
        <v>15130</v>
      </c>
      <c r="W171" s="216"/>
      <c r="X171" s="216"/>
      <c r="Y171" s="216"/>
      <c r="Z171" s="216">
        <v>2035</v>
      </c>
    </row>
    <row r="172" spans="1:28" s="69" customFormat="1" ht="13.8">
      <c r="A172" s="65" t="s">
        <v>181</v>
      </c>
      <c r="B172" s="66">
        <v>237</v>
      </c>
      <c r="C172" s="66">
        <f t="shared" si="13"/>
        <v>34365</v>
      </c>
      <c r="D172" s="67" t="s">
        <v>25</v>
      </c>
      <c r="E172" s="66">
        <v>0.95</v>
      </c>
      <c r="F172" s="66" t="s">
        <v>570</v>
      </c>
      <c r="G172" s="66">
        <v>67</v>
      </c>
      <c r="H172" s="83" t="s">
        <v>314</v>
      </c>
      <c r="I172" s="66" t="s">
        <v>20</v>
      </c>
      <c r="J172" s="94" t="s">
        <v>403</v>
      </c>
      <c r="K172" s="314"/>
      <c r="L172" s="94" t="s">
        <v>278</v>
      </c>
      <c r="M172" s="94" t="s">
        <v>513</v>
      </c>
      <c r="N172" s="314" t="s">
        <v>15</v>
      </c>
      <c r="O172" s="315" t="s">
        <v>280</v>
      </c>
      <c r="P172" s="84" t="s">
        <v>99</v>
      </c>
      <c r="Q172" s="68"/>
      <c r="R172" s="217"/>
      <c r="S172" s="216"/>
      <c r="T172" s="216">
        <v>15580</v>
      </c>
      <c r="U172" s="216">
        <v>20255</v>
      </c>
      <c r="V172" s="216">
        <v>22280</v>
      </c>
      <c r="W172" s="216"/>
      <c r="X172" s="216"/>
      <c r="Y172" s="216"/>
      <c r="Z172" s="216">
        <v>2036</v>
      </c>
    </row>
    <row r="173" spans="1:28" s="69" customFormat="1" ht="13.8">
      <c r="A173" s="65" t="s">
        <v>182</v>
      </c>
      <c r="B173" s="66">
        <v>27</v>
      </c>
      <c r="C173" s="66">
        <f t="shared" si="13"/>
        <v>3915</v>
      </c>
      <c r="D173" s="67" t="s">
        <v>25</v>
      </c>
      <c r="E173" s="66">
        <v>0.95</v>
      </c>
      <c r="F173" s="66" t="s">
        <v>26</v>
      </c>
      <c r="G173" s="66">
        <v>67</v>
      </c>
      <c r="H173" s="83" t="s">
        <v>314</v>
      </c>
      <c r="I173" s="66" t="s">
        <v>20</v>
      </c>
      <c r="J173" s="94" t="s">
        <v>389</v>
      </c>
      <c r="K173" s="314"/>
      <c r="L173" s="94" t="s">
        <v>278</v>
      </c>
      <c r="M173" s="94" t="s">
        <v>513</v>
      </c>
      <c r="N173" s="314" t="s">
        <v>15</v>
      </c>
      <c r="O173" s="315" t="s">
        <v>280</v>
      </c>
      <c r="P173" s="84" t="s">
        <v>99</v>
      </c>
      <c r="Q173" s="68"/>
      <c r="R173" s="217"/>
      <c r="S173" s="217"/>
      <c r="T173" s="217">
        <v>2245</v>
      </c>
      <c r="U173" s="217">
        <v>2920</v>
      </c>
      <c r="V173" s="217">
        <v>3210</v>
      </c>
      <c r="W173" s="217"/>
      <c r="X173" s="217"/>
      <c r="Y173" s="217"/>
      <c r="Z173" s="217">
        <v>2037</v>
      </c>
      <c r="AA173" s="217"/>
      <c r="AB173" s="217"/>
    </row>
    <row r="174" spans="1:28" s="69" customFormat="1" ht="13.8">
      <c r="A174" s="65" t="s">
        <v>183</v>
      </c>
      <c r="B174" s="66">
        <v>53</v>
      </c>
      <c r="C174" s="66">
        <f t="shared" si="13"/>
        <v>7685</v>
      </c>
      <c r="D174" s="67" t="s">
        <v>25</v>
      </c>
      <c r="E174" s="66">
        <v>0.95</v>
      </c>
      <c r="F174" s="66" t="s">
        <v>26</v>
      </c>
      <c r="G174" s="66">
        <v>67</v>
      </c>
      <c r="H174" s="83" t="s">
        <v>314</v>
      </c>
      <c r="I174" s="66" t="s">
        <v>20</v>
      </c>
      <c r="J174" s="94" t="s">
        <v>393</v>
      </c>
      <c r="K174" s="314"/>
      <c r="L174" s="94" t="s">
        <v>278</v>
      </c>
      <c r="M174" s="94" t="s">
        <v>513</v>
      </c>
      <c r="N174" s="314" t="s">
        <v>15</v>
      </c>
      <c r="O174" s="315" t="s">
        <v>280</v>
      </c>
      <c r="P174" s="84" t="s">
        <v>99</v>
      </c>
      <c r="Q174" s="68"/>
      <c r="R174" s="217"/>
      <c r="S174" s="217"/>
      <c r="T174" s="217">
        <v>3525</v>
      </c>
      <c r="U174" s="217">
        <v>4585</v>
      </c>
      <c r="V174" s="217">
        <v>5045</v>
      </c>
      <c r="W174" s="217"/>
      <c r="X174" s="217"/>
      <c r="Y174" s="217"/>
      <c r="Z174" s="217">
        <v>2038</v>
      </c>
      <c r="AA174" s="217"/>
      <c r="AB174" s="217"/>
    </row>
    <row r="175" spans="1:28" s="69" customFormat="1" ht="13.8">
      <c r="A175" s="65" t="s">
        <v>184</v>
      </c>
      <c r="B175" s="66">
        <v>79</v>
      </c>
      <c r="C175" s="66">
        <f t="shared" si="13"/>
        <v>11455</v>
      </c>
      <c r="D175" s="67" t="s">
        <v>25</v>
      </c>
      <c r="E175" s="66">
        <v>0.95</v>
      </c>
      <c r="F175" s="66" t="s">
        <v>26</v>
      </c>
      <c r="G175" s="66">
        <v>67</v>
      </c>
      <c r="H175" s="83" t="s">
        <v>314</v>
      </c>
      <c r="I175" s="66" t="s">
        <v>20</v>
      </c>
      <c r="J175" s="94" t="s">
        <v>400</v>
      </c>
      <c r="K175" s="314"/>
      <c r="L175" s="94" t="s">
        <v>278</v>
      </c>
      <c r="M175" s="94" t="s">
        <v>513</v>
      </c>
      <c r="N175" s="314" t="s">
        <v>15</v>
      </c>
      <c r="O175" s="315" t="s">
        <v>280</v>
      </c>
      <c r="P175" s="84" t="s">
        <v>99</v>
      </c>
      <c r="Q175" s="68"/>
      <c r="R175" s="217"/>
      <c r="S175" s="217"/>
      <c r="T175" s="217">
        <v>5190</v>
      </c>
      <c r="U175" s="217">
        <v>6745</v>
      </c>
      <c r="V175" s="217">
        <v>7420</v>
      </c>
      <c r="W175" s="217"/>
      <c r="X175" s="217"/>
      <c r="Y175" s="217"/>
      <c r="Z175" s="217">
        <v>2039</v>
      </c>
      <c r="AA175" s="217"/>
      <c r="AB175" s="217"/>
    </row>
    <row r="176" spans="1:28" s="69" customFormat="1" ht="13.8">
      <c r="A176" s="332" t="s">
        <v>559</v>
      </c>
      <c r="B176" s="331">
        <v>32</v>
      </c>
      <c r="C176" s="331">
        <f>B176*140</f>
        <v>4480</v>
      </c>
      <c r="D176" s="331" t="s">
        <v>25</v>
      </c>
      <c r="E176" s="331">
        <v>0.95</v>
      </c>
      <c r="F176" s="331" t="s">
        <v>568</v>
      </c>
      <c r="G176" s="331">
        <v>67</v>
      </c>
      <c r="H176" s="331" t="s">
        <v>98</v>
      </c>
      <c r="I176" s="331" t="s">
        <v>20</v>
      </c>
      <c r="J176" s="331" t="s">
        <v>556</v>
      </c>
      <c r="K176" s="331"/>
      <c r="L176" s="331" t="s">
        <v>278</v>
      </c>
      <c r="M176" s="331" t="s">
        <v>513</v>
      </c>
      <c r="N176" s="331" t="s">
        <v>15</v>
      </c>
      <c r="O176" s="331" t="s">
        <v>280</v>
      </c>
      <c r="P176" s="331" t="s">
        <v>99</v>
      </c>
      <c r="Q176" s="331"/>
      <c r="R176" s="331"/>
      <c r="S176" s="331"/>
      <c r="T176" s="331">
        <v>2200</v>
      </c>
      <c r="U176" s="331">
        <v>2860</v>
      </c>
      <c r="V176" s="331">
        <v>3145</v>
      </c>
      <c r="W176" s="331"/>
      <c r="X176" s="331"/>
      <c r="Y176" s="331"/>
      <c r="Z176" s="331">
        <v>2076</v>
      </c>
      <c r="AA176" s="217"/>
      <c r="AB176" s="217"/>
    </row>
    <row r="177" spans="1:28" s="69" customFormat="1" ht="13.8">
      <c r="A177" s="332" t="s">
        <v>578</v>
      </c>
      <c r="B177" s="331">
        <v>64</v>
      </c>
      <c r="C177" s="331">
        <f>B177*140</f>
        <v>8960</v>
      </c>
      <c r="D177" s="331" t="s">
        <v>25</v>
      </c>
      <c r="E177" s="331">
        <v>0.95</v>
      </c>
      <c r="F177" s="331" t="s">
        <v>568</v>
      </c>
      <c r="G177" s="331">
        <v>67</v>
      </c>
      <c r="H177" s="331" t="s">
        <v>98</v>
      </c>
      <c r="I177" s="331" t="s">
        <v>20</v>
      </c>
      <c r="J177" s="331" t="s">
        <v>557</v>
      </c>
      <c r="K177" s="331"/>
      <c r="L177" s="331" t="s">
        <v>278</v>
      </c>
      <c r="M177" s="331" t="s">
        <v>513</v>
      </c>
      <c r="N177" s="331" t="s">
        <v>15</v>
      </c>
      <c r="O177" s="331" t="s">
        <v>280</v>
      </c>
      <c r="P177" s="331" t="s">
        <v>99</v>
      </c>
      <c r="Q177" s="331"/>
      <c r="R177" s="331"/>
      <c r="S177" s="331"/>
      <c r="T177" s="331">
        <v>3190</v>
      </c>
      <c r="U177" s="331">
        <v>4145</v>
      </c>
      <c r="V177" s="331">
        <v>4560</v>
      </c>
      <c r="W177" s="331"/>
      <c r="X177" s="331"/>
      <c r="Y177" s="331"/>
      <c r="Z177" s="331">
        <v>2077</v>
      </c>
      <c r="AA177" s="217"/>
      <c r="AB177" s="217"/>
    </row>
    <row r="178" spans="1:28" s="69" customFormat="1" ht="13.8">
      <c r="A178" s="332" t="s">
        <v>560</v>
      </c>
      <c r="B178" s="331">
        <v>96</v>
      </c>
      <c r="C178" s="331">
        <f>B178*140</f>
        <v>13440</v>
      </c>
      <c r="D178" s="331" t="s">
        <v>25</v>
      </c>
      <c r="E178" s="331">
        <v>0.95</v>
      </c>
      <c r="F178" s="331" t="s">
        <v>568</v>
      </c>
      <c r="G178" s="331">
        <v>67</v>
      </c>
      <c r="H178" s="331" t="s">
        <v>98</v>
      </c>
      <c r="I178" s="331" t="s">
        <v>20</v>
      </c>
      <c r="J178" s="331" t="s">
        <v>558</v>
      </c>
      <c r="K178" s="331"/>
      <c r="L178" s="331" t="s">
        <v>278</v>
      </c>
      <c r="M178" s="331" t="s">
        <v>513</v>
      </c>
      <c r="N178" s="331" t="s">
        <v>15</v>
      </c>
      <c r="O178" s="331" t="s">
        <v>280</v>
      </c>
      <c r="P178" s="331" t="s">
        <v>99</v>
      </c>
      <c r="Q178" s="331"/>
      <c r="R178" s="331"/>
      <c r="S178" s="331"/>
      <c r="T178" s="331">
        <v>4895</v>
      </c>
      <c r="U178" s="331">
        <v>6365</v>
      </c>
      <c r="V178" s="331">
        <v>7000</v>
      </c>
      <c r="W178" s="331"/>
      <c r="X178" s="331"/>
      <c r="Y178" s="331"/>
      <c r="Z178" s="331">
        <v>2078</v>
      </c>
      <c r="AA178" s="217"/>
      <c r="AB178" s="217"/>
    </row>
    <row r="179" spans="1:28" s="69" customFormat="1" ht="13.8">
      <c r="A179" s="332" t="s">
        <v>561</v>
      </c>
      <c r="B179" s="331">
        <v>32</v>
      </c>
      <c r="C179" s="331">
        <f t="shared" ref="C179:C181" si="14">B179*140</f>
        <v>4480</v>
      </c>
      <c r="D179" s="331" t="s">
        <v>25</v>
      </c>
      <c r="E179" s="331">
        <v>0.95</v>
      </c>
      <c r="F179" s="331" t="s">
        <v>569</v>
      </c>
      <c r="G179" s="331">
        <v>67</v>
      </c>
      <c r="H179" s="331" t="s">
        <v>98</v>
      </c>
      <c r="I179" s="331" t="s">
        <v>20</v>
      </c>
      <c r="J179" s="331" t="s">
        <v>556</v>
      </c>
      <c r="K179" s="331"/>
      <c r="L179" s="331" t="s">
        <v>278</v>
      </c>
      <c r="M179" s="331" t="s">
        <v>513</v>
      </c>
      <c r="N179" s="331" t="s">
        <v>15</v>
      </c>
      <c r="O179" s="331" t="s">
        <v>280</v>
      </c>
      <c r="P179" s="331" t="s">
        <v>99</v>
      </c>
      <c r="Q179" s="331"/>
      <c r="R179" s="331"/>
      <c r="S179" s="331"/>
      <c r="T179" s="331">
        <v>2200</v>
      </c>
      <c r="U179" s="331">
        <v>2860</v>
      </c>
      <c r="V179" s="331">
        <v>3145</v>
      </c>
      <c r="W179" s="331"/>
      <c r="X179" s="331"/>
      <c r="Y179" s="331"/>
      <c r="Z179" s="331">
        <v>2079</v>
      </c>
      <c r="AA179" s="217"/>
      <c r="AB179" s="217"/>
    </row>
    <row r="180" spans="1:28" s="69" customFormat="1" ht="13.8">
      <c r="A180" s="332" t="s">
        <v>579</v>
      </c>
      <c r="B180" s="331">
        <v>64</v>
      </c>
      <c r="C180" s="331">
        <f t="shared" si="14"/>
        <v>8960</v>
      </c>
      <c r="D180" s="331" t="s">
        <v>25</v>
      </c>
      <c r="E180" s="331">
        <v>0.95</v>
      </c>
      <c r="F180" s="331" t="s">
        <v>569</v>
      </c>
      <c r="G180" s="331">
        <v>67</v>
      </c>
      <c r="H180" s="331" t="s">
        <v>98</v>
      </c>
      <c r="I180" s="331" t="s">
        <v>20</v>
      </c>
      <c r="J180" s="331" t="s">
        <v>557</v>
      </c>
      <c r="K180" s="331"/>
      <c r="L180" s="331" t="s">
        <v>278</v>
      </c>
      <c r="M180" s="331" t="s">
        <v>513</v>
      </c>
      <c r="N180" s="331" t="s">
        <v>15</v>
      </c>
      <c r="O180" s="331" t="s">
        <v>280</v>
      </c>
      <c r="P180" s="331" t="s">
        <v>99</v>
      </c>
      <c r="Q180" s="331"/>
      <c r="R180" s="331"/>
      <c r="S180" s="331"/>
      <c r="T180" s="331">
        <v>3190</v>
      </c>
      <c r="U180" s="331">
        <v>4145</v>
      </c>
      <c r="V180" s="331">
        <v>4560</v>
      </c>
      <c r="W180" s="331"/>
      <c r="X180" s="331"/>
      <c r="Y180" s="331"/>
      <c r="Z180" s="331">
        <v>2080</v>
      </c>
      <c r="AA180" s="217"/>
      <c r="AB180" s="217"/>
    </row>
    <row r="181" spans="1:28" s="69" customFormat="1" ht="13.8">
      <c r="A181" s="332" t="s">
        <v>562</v>
      </c>
      <c r="B181" s="331">
        <v>96</v>
      </c>
      <c r="C181" s="331">
        <f t="shared" si="14"/>
        <v>13440</v>
      </c>
      <c r="D181" s="331" t="s">
        <v>25</v>
      </c>
      <c r="E181" s="331">
        <v>0.95</v>
      </c>
      <c r="F181" s="331" t="s">
        <v>569</v>
      </c>
      <c r="G181" s="331">
        <v>67</v>
      </c>
      <c r="H181" s="331" t="s">
        <v>98</v>
      </c>
      <c r="I181" s="331" t="s">
        <v>20</v>
      </c>
      <c r="J181" s="331" t="s">
        <v>558</v>
      </c>
      <c r="K181" s="331"/>
      <c r="L181" s="331" t="s">
        <v>278</v>
      </c>
      <c r="M181" s="331" t="s">
        <v>513</v>
      </c>
      <c r="N181" s="331" t="s">
        <v>15</v>
      </c>
      <c r="O181" s="331" t="s">
        <v>280</v>
      </c>
      <c r="P181" s="331" t="s">
        <v>99</v>
      </c>
      <c r="Q181" s="331"/>
      <c r="R181" s="331"/>
      <c r="S181" s="331"/>
      <c r="T181" s="331">
        <v>4895</v>
      </c>
      <c r="U181" s="331">
        <v>6365</v>
      </c>
      <c r="V181" s="331">
        <v>7000</v>
      </c>
      <c r="W181" s="331"/>
      <c r="X181" s="331"/>
      <c r="Y181" s="331"/>
      <c r="Z181" s="331">
        <v>2081</v>
      </c>
      <c r="AA181" s="217"/>
      <c r="AB181" s="217"/>
    </row>
    <row r="182" spans="1:28" s="69" customFormat="1" ht="13.8">
      <c r="A182" s="65" t="s">
        <v>185</v>
      </c>
      <c r="B182" s="66">
        <v>27</v>
      </c>
      <c r="C182" s="66">
        <f t="shared" si="13"/>
        <v>3915</v>
      </c>
      <c r="D182" s="67" t="s">
        <v>25</v>
      </c>
      <c r="E182" s="66">
        <v>0.95</v>
      </c>
      <c r="F182" s="66" t="s">
        <v>27</v>
      </c>
      <c r="G182" s="66">
        <v>67</v>
      </c>
      <c r="H182" s="83" t="s">
        <v>314</v>
      </c>
      <c r="I182" s="66" t="s">
        <v>20</v>
      </c>
      <c r="J182" s="94" t="s">
        <v>389</v>
      </c>
      <c r="K182" s="314"/>
      <c r="L182" s="94" t="s">
        <v>278</v>
      </c>
      <c r="M182" s="94" t="s">
        <v>513</v>
      </c>
      <c r="N182" s="314" t="s">
        <v>15</v>
      </c>
      <c r="O182" s="315" t="s">
        <v>280</v>
      </c>
      <c r="P182" s="84" t="s">
        <v>99</v>
      </c>
      <c r="Q182" s="68"/>
      <c r="R182" s="217"/>
      <c r="S182" s="217"/>
      <c r="T182" s="217">
        <v>2245</v>
      </c>
      <c r="U182" s="217">
        <v>2920</v>
      </c>
      <c r="V182" s="217">
        <v>3210</v>
      </c>
      <c r="W182" s="217"/>
      <c r="X182" s="217"/>
      <c r="Y182" s="217"/>
      <c r="Z182" s="217">
        <v>2040</v>
      </c>
      <c r="AA182" s="217"/>
      <c r="AB182" s="217"/>
    </row>
    <row r="183" spans="1:28" s="69" customFormat="1" ht="13.8">
      <c r="A183" s="65" t="s">
        <v>186</v>
      </c>
      <c r="B183" s="66">
        <v>53</v>
      </c>
      <c r="C183" s="66">
        <f t="shared" si="13"/>
        <v>7685</v>
      </c>
      <c r="D183" s="67" t="s">
        <v>25</v>
      </c>
      <c r="E183" s="66">
        <v>0.95</v>
      </c>
      <c r="F183" s="66" t="s">
        <v>27</v>
      </c>
      <c r="G183" s="66">
        <v>67</v>
      </c>
      <c r="H183" s="83" t="s">
        <v>314</v>
      </c>
      <c r="I183" s="66" t="s">
        <v>20</v>
      </c>
      <c r="J183" s="94" t="s">
        <v>393</v>
      </c>
      <c r="K183" s="314"/>
      <c r="L183" s="94" t="s">
        <v>278</v>
      </c>
      <c r="M183" s="94" t="s">
        <v>513</v>
      </c>
      <c r="N183" s="314" t="s">
        <v>15</v>
      </c>
      <c r="O183" s="315" t="s">
        <v>280</v>
      </c>
      <c r="P183" s="84" t="s">
        <v>99</v>
      </c>
      <c r="Q183" s="68"/>
      <c r="R183" s="217"/>
      <c r="S183" s="217"/>
      <c r="T183" s="217">
        <v>3525</v>
      </c>
      <c r="U183" s="217">
        <v>4585</v>
      </c>
      <c r="V183" s="217">
        <v>5045</v>
      </c>
      <c r="W183" s="217"/>
      <c r="X183" s="217"/>
      <c r="Y183" s="217"/>
      <c r="Z183" s="217">
        <v>2041</v>
      </c>
      <c r="AA183" s="217"/>
      <c r="AB183" s="217"/>
    </row>
    <row r="184" spans="1:28" s="69" customFormat="1" ht="13.8">
      <c r="A184" s="65" t="s">
        <v>187</v>
      </c>
      <c r="B184" s="66">
        <v>79</v>
      </c>
      <c r="C184" s="66">
        <f t="shared" si="13"/>
        <v>11455</v>
      </c>
      <c r="D184" s="67" t="s">
        <v>25</v>
      </c>
      <c r="E184" s="66">
        <v>0.95</v>
      </c>
      <c r="F184" s="66" t="s">
        <v>27</v>
      </c>
      <c r="G184" s="66">
        <v>67</v>
      </c>
      <c r="H184" s="83" t="s">
        <v>314</v>
      </c>
      <c r="I184" s="66" t="s">
        <v>20</v>
      </c>
      <c r="J184" s="94" t="s">
        <v>400</v>
      </c>
      <c r="K184" s="314"/>
      <c r="L184" s="94" t="s">
        <v>278</v>
      </c>
      <c r="M184" s="94" t="s">
        <v>513</v>
      </c>
      <c r="N184" s="314" t="s">
        <v>15</v>
      </c>
      <c r="O184" s="315" t="s">
        <v>280</v>
      </c>
      <c r="P184" s="84" t="s">
        <v>99</v>
      </c>
      <c r="Q184" s="68"/>
      <c r="R184" s="217"/>
      <c r="S184" s="217"/>
      <c r="T184" s="217">
        <v>5190</v>
      </c>
      <c r="U184" s="217">
        <v>6745</v>
      </c>
      <c r="V184" s="217">
        <v>7420</v>
      </c>
      <c r="W184" s="217"/>
      <c r="X184" s="217"/>
      <c r="Y184" s="217"/>
      <c r="Z184" s="217">
        <v>2042</v>
      </c>
      <c r="AA184" s="217"/>
      <c r="AB184" s="217"/>
    </row>
    <row r="185" spans="1:28" s="69" customFormat="1" ht="13.8">
      <c r="A185" s="65" t="s">
        <v>188</v>
      </c>
      <c r="B185" s="66">
        <v>27</v>
      </c>
      <c r="C185" s="66">
        <f t="shared" si="13"/>
        <v>3915</v>
      </c>
      <c r="D185" s="67" t="s">
        <v>25</v>
      </c>
      <c r="E185" s="66">
        <v>0.95</v>
      </c>
      <c r="F185" s="66" t="s">
        <v>28</v>
      </c>
      <c r="G185" s="66">
        <v>67</v>
      </c>
      <c r="H185" s="83" t="s">
        <v>314</v>
      </c>
      <c r="I185" s="66" t="s">
        <v>20</v>
      </c>
      <c r="J185" s="94" t="s">
        <v>389</v>
      </c>
      <c r="K185" s="314"/>
      <c r="L185" s="94" t="s">
        <v>278</v>
      </c>
      <c r="M185" s="94" t="s">
        <v>513</v>
      </c>
      <c r="N185" s="314" t="s">
        <v>15</v>
      </c>
      <c r="O185" s="315" t="s">
        <v>280</v>
      </c>
      <c r="P185" s="84" t="s">
        <v>99</v>
      </c>
      <c r="Q185" s="68"/>
      <c r="R185" s="217"/>
      <c r="S185" s="217"/>
      <c r="T185" s="217">
        <v>2245</v>
      </c>
      <c r="U185" s="217">
        <v>2920</v>
      </c>
      <c r="V185" s="217">
        <v>3210</v>
      </c>
      <c r="W185" s="217"/>
      <c r="X185" s="217"/>
      <c r="Y185" s="217"/>
      <c r="Z185" s="217">
        <v>2043</v>
      </c>
      <c r="AA185" s="217"/>
      <c r="AB185" s="217"/>
    </row>
    <row r="186" spans="1:28" s="69" customFormat="1" ht="13.8">
      <c r="A186" s="65" t="s">
        <v>189</v>
      </c>
      <c r="B186" s="66">
        <v>53</v>
      </c>
      <c r="C186" s="66">
        <f t="shared" si="13"/>
        <v>7685</v>
      </c>
      <c r="D186" s="67" t="s">
        <v>25</v>
      </c>
      <c r="E186" s="66">
        <v>0.95</v>
      </c>
      <c r="F186" s="66" t="s">
        <v>28</v>
      </c>
      <c r="G186" s="66">
        <v>67</v>
      </c>
      <c r="H186" s="83" t="s">
        <v>314</v>
      </c>
      <c r="I186" s="66" t="s">
        <v>20</v>
      </c>
      <c r="J186" s="94" t="s">
        <v>393</v>
      </c>
      <c r="K186" s="314"/>
      <c r="L186" s="94" t="s">
        <v>278</v>
      </c>
      <c r="M186" s="94" t="s">
        <v>513</v>
      </c>
      <c r="N186" s="314" t="s">
        <v>15</v>
      </c>
      <c r="O186" s="315" t="s">
        <v>280</v>
      </c>
      <c r="P186" s="84" t="s">
        <v>99</v>
      </c>
      <c r="Q186" s="68"/>
      <c r="R186" s="217"/>
      <c r="S186" s="217"/>
      <c r="T186" s="217">
        <v>3525</v>
      </c>
      <c r="U186" s="217">
        <v>4585</v>
      </c>
      <c r="V186" s="217">
        <v>5045</v>
      </c>
      <c r="W186" s="217"/>
      <c r="X186" s="217"/>
      <c r="Y186" s="217"/>
      <c r="Z186" s="217">
        <v>2044</v>
      </c>
      <c r="AA186" s="217"/>
      <c r="AB186" s="217"/>
    </row>
    <row r="187" spans="1:28" s="69" customFormat="1" ht="13.8">
      <c r="A187" s="65" t="s">
        <v>190</v>
      </c>
      <c r="B187" s="66">
        <v>79</v>
      </c>
      <c r="C187" s="66">
        <f t="shared" si="13"/>
        <v>11455</v>
      </c>
      <c r="D187" s="67" t="s">
        <v>25</v>
      </c>
      <c r="E187" s="66">
        <v>0.95</v>
      </c>
      <c r="F187" s="66" t="s">
        <v>28</v>
      </c>
      <c r="G187" s="66">
        <v>67</v>
      </c>
      <c r="H187" s="83" t="s">
        <v>314</v>
      </c>
      <c r="I187" s="66" t="s">
        <v>20</v>
      </c>
      <c r="J187" s="94" t="s">
        <v>400</v>
      </c>
      <c r="K187" s="314"/>
      <c r="L187" s="94" t="s">
        <v>278</v>
      </c>
      <c r="M187" s="94" t="s">
        <v>513</v>
      </c>
      <c r="N187" s="314" t="s">
        <v>15</v>
      </c>
      <c r="O187" s="315" t="s">
        <v>280</v>
      </c>
      <c r="P187" s="84" t="s">
        <v>99</v>
      </c>
      <c r="Q187" s="68"/>
      <c r="R187" s="217"/>
      <c r="S187" s="217"/>
      <c r="T187" s="217">
        <v>5190</v>
      </c>
      <c r="U187" s="217">
        <v>6745</v>
      </c>
      <c r="V187" s="217">
        <v>7420</v>
      </c>
      <c r="W187" s="217"/>
      <c r="X187" s="217"/>
      <c r="Y187" s="217"/>
      <c r="Z187" s="217">
        <v>2045</v>
      </c>
      <c r="AA187" s="217"/>
      <c r="AB187" s="217"/>
    </row>
    <row r="188" spans="1:28" s="69" customFormat="1" ht="13.8">
      <c r="A188" s="330" t="s">
        <v>563</v>
      </c>
      <c r="B188" s="66">
        <v>32</v>
      </c>
      <c r="C188" s="66">
        <f>B188*140</f>
        <v>4480</v>
      </c>
      <c r="D188" s="67" t="s">
        <v>25</v>
      </c>
      <c r="E188" s="66">
        <v>0.95</v>
      </c>
      <c r="F188" s="66" t="s">
        <v>567</v>
      </c>
      <c r="G188" s="66">
        <v>67</v>
      </c>
      <c r="H188" s="83" t="s">
        <v>98</v>
      </c>
      <c r="I188" s="66" t="s">
        <v>20</v>
      </c>
      <c r="J188" s="94" t="s">
        <v>556</v>
      </c>
      <c r="K188" s="314"/>
      <c r="L188" s="94" t="s">
        <v>278</v>
      </c>
      <c r="M188" s="94" t="s">
        <v>513</v>
      </c>
      <c r="N188" s="314" t="s">
        <v>15</v>
      </c>
      <c r="O188" s="315" t="s">
        <v>280</v>
      </c>
      <c r="P188" s="84" t="s">
        <v>99</v>
      </c>
      <c r="Q188" s="68"/>
      <c r="R188" s="331"/>
      <c r="S188" s="331"/>
      <c r="T188" s="331">
        <v>2200</v>
      </c>
      <c r="U188" s="331">
        <v>2860</v>
      </c>
      <c r="V188" s="331">
        <v>3145</v>
      </c>
      <c r="W188" s="331"/>
      <c r="X188" s="331"/>
      <c r="Y188" s="331"/>
      <c r="Z188" s="331">
        <v>2082</v>
      </c>
      <c r="AA188" s="217"/>
      <c r="AB188" s="217"/>
    </row>
    <row r="189" spans="1:28" s="69" customFormat="1" ht="13.8">
      <c r="A189" s="330" t="s">
        <v>580</v>
      </c>
      <c r="B189" s="66">
        <v>64</v>
      </c>
      <c r="C189" s="66">
        <f t="shared" ref="C189:C193" si="15">B189*140</f>
        <v>8960</v>
      </c>
      <c r="D189" s="67" t="s">
        <v>25</v>
      </c>
      <c r="E189" s="66">
        <v>0.95</v>
      </c>
      <c r="F189" s="66" t="s">
        <v>567</v>
      </c>
      <c r="G189" s="66">
        <v>67</v>
      </c>
      <c r="H189" s="83" t="s">
        <v>98</v>
      </c>
      <c r="I189" s="66" t="s">
        <v>20</v>
      </c>
      <c r="J189" s="94" t="s">
        <v>557</v>
      </c>
      <c r="K189" s="314"/>
      <c r="L189" s="94" t="s">
        <v>278</v>
      </c>
      <c r="M189" s="94" t="s">
        <v>513</v>
      </c>
      <c r="N189" s="314" t="s">
        <v>15</v>
      </c>
      <c r="O189" s="315" t="s">
        <v>280</v>
      </c>
      <c r="P189" s="84" t="s">
        <v>99</v>
      </c>
      <c r="Q189" s="68"/>
      <c r="R189" s="331"/>
      <c r="S189" s="331"/>
      <c r="T189" s="331">
        <v>3190</v>
      </c>
      <c r="U189" s="331">
        <v>4145</v>
      </c>
      <c r="V189" s="331">
        <v>4560</v>
      </c>
      <c r="W189" s="331"/>
      <c r="X189" s="331"/>
      <c r="Y189" s="331"/>
      <c r="Z189" s="331">
        <v>2083</v>
      </c>
      <c r="AA189" s="217"/>
      <c r="AB189" s="217"/>
    </row>
    <row r="190" spans="1:28" s="69" customFormat="1" ht="13.8">
      <c r="A190" s="330" t="s">
        <v>564</v>
      </c>
      <c r="B190" s="66">
        <v>96</v>
      </c>
      <c r="C190" s="66">
        <f t="shared" si="15"/>
        <v>13440</v>
      </c>
      <c r="D190" s="67" t="s">
        <v>25</v>
      </c>
      <c r="E190" s="66">
        <v>0.95</v>
      </c>
      <c r="F190" s="66" t="s">
        <v>567</v>
      </c>
      <c r="G190" s="66">
        <v>67</v>
      </c>
      <c r="H190" s="83" t="s">
        <v>98</v>
      </c>
      <c r="I190" s="66" t="s">
        <v>20</v>
      </c>
      <c r="J190" s="94" t="s">
        <v>558</v>
      </c>
      <c r="K190" s="314"/>
      <c r="L190" s="94" t="s">
        <v>278</v>
      </c>
      <c r="M190" s="94" t="s">
        <v>513</v>
      </c>
      <c r="N190" s="314" t="s">
        <v>15</v>
      </c>
      <c r="O190" s="315" t="s">
        <v>280</v>
      </c>
      <c r="P190" s="84" t="s">
        <v>99</v>
      </c>
      <c r="Q190" s="68"/>
      <c r="R190" s="331"/>
      <c r="S190" s="331"/>
      <c r="T190" s="331">
        <v>4895</v>
      </c>
      <c r="U190" s="331">
        <v>6365</v>
      </c>
      <c r="V190" s="331">
        <v>7000</v>
      </c>
      <c r="W190" s="331"/>
      <c r="X190" s="331"/>
      <c r="Y190" s="331"/>
      <c r="Z190" s="331">
        <v>2084</v>
      </c>
      <c r="AA190" s="217"/>
      <c r="AB190" s="217"/>
    </row>
    <row r="191" spans="1:28" s="69" customFormat="1" ht="13.8">
      <c r="A191" s="330" t="s">
        <v>565</v>
      </c>
      <c r="B191" s="66">
        <v>32</v>
      </c>
      <c r="C191" s="66">
        <f t="shared" si="15"/>
        <v>4480</v>
      </c>
      <c r="D191" s="67" t="s">
        <v>25</v>
      </c>
      <c r="E191" s="66">
        <v>0.95</v>
      </c>
      <c r="F191" s="66" t="s">
        <v>571</v>
      </c>
      <c r="G191" s="66">
        <v>67</v>
      </c>
      <c r="H191" s="83" t="s">
        <v>98</v>
      </c>
      <c r="I191" s="66" t="s">
        <v>20</v>
      </c>
      <c r="J191" s="94" t="s">
        <v>556</v>
      </c>
      <c r="K191" s="314"/>
      <c r="L191" s="94" t="s">
        <v>278</v>
      </c>
      <c r="M191" s="94" t="s">
        <v>513</v>
      </c>
      <c r="N191" s="314" t="s">
        <v>15</v>
      </c>
      <c r="O191" s="315" t="s">
        <v>280</v>
      </c>
      <c r="P191" s="84" t="s">
        <v>99</v>
      </c>
      <c r="Q191" s="68"/>
      <c r="R191" s="331"/>
      <c r="S191" s="331"/>
      <c r="T191" s="331">
        <v>2200</v>
      </c>
      <c r="U191" s="331">
        <v>2860</v>
      </c>
      <c r="V191" s="331">
        <v>3145</v>
      </c>
      <c r="W191" s="331"/>
      <c r="X191" s="331"/>
      <c r="Y191" s="331"/>
      <c r="Z191" s="331">
        <v>2085</v>
      </c>
      <c r="AA191" s="217"/>
      <c r="AB191" s="217"/>
    </row>
    <row r="192" spans="1:28" s="69" customFormat="1" ht="13.8">
      <c r="A192" s="330" t="s">
        <v>581</v>
      </c>
      <c r="B192" s="66">
        <v>64</v>
      </c>
      <c r="C192" s="66">
        <f t="shared" si="15"/>
        <v>8960</v>
      </c>
      <c r="D192" s="67" t="s">
        <v>25</v>
      </c>
      <c r="E192" s="66">
        <v>0.95</v>
      </c>
      <c r="F192" s="66" t="s">
        <v>571</v>
      </c>
      <c r="G192" s="66">
        <v>67</v>
      </c>
      <c r="H192" s="83" t="s">
        <v>98</v>
      </c>
      <c r="I192" s="66" t="s">
        <v>20</v>
      </c>
      <c r="J192" s="94" t="s">
        <v>557</v>
      </c>
      <c r="K192" s="314"/>
      <c r="L192" s="94" t="s">
        <v>278</v>
      </c>
      <c r="M192" s="94" t="s">
        <v>513</v>
      </c>
      <c r="N192" s="314" t="s">
        <v>15</v>
      </c>
      <c r="O192" s="315" t="s">
        <v>280</v>
      </c>
      <c r="P192" s="84" t="s">
        <v>99</v>
      </c>
      <c r="Q192" s="68"/>
      <c r="R192" s="331"/>
      <c r="S192" s="331"/>
      <c r="T192" s="331">
        <v>3190</v>
      </c>
      <c r="U192" s="331">
        <v>4145</v>
      </c>
      <c r="V192" s="331">
        <v>4560</v>
      </c>
      <c r="W192" s="331"/>
      <c r="X192" s="331"/>
      <c r="Y192" s="331"/>
      <c r="Z192" s="331">
        <v>2086</v>
      </c>
      <c r="AA192" s="217"/>
      <c r="AB192" s="217"/>
    </row>
    <row r="193" spans="1:28" s="69" customFormat="1" ht="13.8">
      <c r="A193" s="330" t="s">
        <v>566</v>
      </c>
      <c r="B193" s="66">
        <v>96</v>
      </c>
      <c r="C193" s="66">
        <f t="shared" si="15"/>
        <v>13440</v>
      </c>
      <c r="D193" s="67" t="s">
        <v>25</v>
      </c>
      <c r="E193" s="66">
        <v>0.95</v>
      </c>
      <c r="F193" s="66" t="s">
        <v>571</v>
      </c>
      <c r="G193" s="66">
        <v>67</v>
      </c>
      <c r="H193" s="83" t="s">
        <v>98</v>
      </c>
      <c r="I193" s="66" t="s">
        <v>20</v>
      </c>
      <c r="J193" s="94" t="s">
        <v>558</v>
      </c>
      <c r="K193" s="314"/>
      <c r="L193" s="94" t="s">
        <v>278</v>
      </c>
      <c r="M193" s="94" t="s">
        <v>513</v>
      </c>
      <c r="N193" s="314" t="s">
        <v>15</v>
      </c>
      <c r="O193" s="315" t="s">
        <v>280</v>
      </c>
      <c r="P193" s="84" t="s">
        <v>99</v>
      </c>
      <c r="Q193" s="68"/>
      <c r="R193" s="331"/>
      <c r="S193" s="331"/>
      <c r="T193" s="331">
        <v>4895</v>
      </c>
      <c r="U193" s="331">
        <v>6365</v>
      </c>
      <c r="V193" s="331">
        <v>7000</v>
      </c>
      <c r="W193" s="331"/>
      <c r="X193" s="331"/>
      <c r="Y193" s="331"/>
      <c r="Z193" s="331">
        <v>2087</v>
      </c>
      <c r="AA193" s="217"/>
      <c r="AB193" s="217"/>
    </row>
    <row r="194" spans="1:28" s="69" customFormat="1" ht="13.8">
      <c r="A194" s="65" t="s">
        <v>191</v>
      </c>
      <c r="B194" s="66">
        <v>27</v>
      </c>
      <c r="C194" s="66">
        <f t="shared" si="13"/>
        <v>3915</v>
      </c>
      <c r="D194" s="67" t="s">
        <v>25</v>
      </c>
      <c r="E194" s="66">
        <v>0.95</v>
      </c>
      <c r="F194" s="66" t="s">
        <v>570</v>
      </c>
      <c r="G194" s="66">
        <v>67</v>
      </c>
      <c r="H194" s="83" t="s">
        <v>314</v>
      </c>
      <c r="I194" s="66" t="s">
        <v>20</v>
      </c>
      <c r="J194" s="94" t="s">
        <v>389</v>
      </c>
      <c r="K194" s="314"/>
      <c r="L194" s="94" t="s">
        <v>278</v>
      </c>
      <c r="M194" s="94" t="s">
        <v>513</v>
      </c>
      <c r="N194" s="314" t="s">
        <v>15</v>
      </c>
      <c r="O194" s="315" t="s">
        <v>280</v>
      </c>
      <c r="P194" s="84" t="s">
        <v>99</v>
      </c>
      <c r="Q194" s="68"/>
      <c r="R194" s="217"/>
      <c r="S194" s="217"/>
      <c r="T194" s="217">
        <v>2245</v>
      </c>
      <c r="U194" s="217">
        <v>2920</v>
      </c>
      <c r="V194" s="217">
        <v>3210</v>
      </c>
      <c r="W194" s="217"/>
      <c r="X194" s="217"/>
      <c r="Y194" s="217"/>
      <c r="Z194" s="217">
        <v>2046</v>
      </c>
      <c r="AA194" s="217"/>
      <c r="AB194" s="217"/>
    </row>
    <row r="195" spans="1:28" s="69" customFormat="1" ht="13.8">
      <c r="A195" s="65" t="s">
        <v>192</v>
      </c>
      <c r="B195" s="66">
        <v>53</v>
      </c>
      <c r="C195" s="66">
        <f t="shared" si="13"/>
        <v>7685</v>
      </c>
      <c r="D195" s="67" t="s">
        <v>25</v>
      </c>
      <c r="E195" s="66">
        <v>0.95</v>
      </c>
      <c r="F195" s="66" t="s">
        <v>570</v>
      </c>
      <c r="G195" s="66">
        <v>67</v>
      </c>
      <c r="H195" s="83" t="s">
        <v>314</v>
      </c>
      <c r="I195" s="66" t="s">
        <v>20</v>
      </c>
      <c r="J195" s="94" t="s">
        <v>393</v>
      </c>
      <c r="K195" s="314"/>
      <c r="L195" s="94" t="s">
        <v>278</v>
      </c>
      <c r="M195" s="94" t="s">
        <v>513</v>
      </c>
      <c r="N195" s="314" t="s">
        <v>15</v>
      </c>
      <c r="O195" s="315" t="s">
        <v>280</v>
      </c>
      <c r="P195" s="84" t="s">
        <v>99</v>
      </c>
      <c r="Q195" s="68"/>
      <c r="R195" s="217"/>
      <c r="S195" s="217"/>
      <c r="T195" s="217">
        <v>3525</v>
      </c>
      <c r="U195" s="217">
        <v>4585</v>
      </c>
      <c r="V195" s="217">
        <v>5045</v>
      </c>
      <c r="W195" s="217"/>
      <c r="X195" s="217"/>
      <c r="Y195" s="217"/>
      <c r="Z195" s="217">
        <v>2047</v>
      </c>
      <c r="AA195" s="217"/>
      <c r="AB195" s="217"/>
    </row>
    <row r="196" spans="1:28" s="69" customFormat="1" ht="13.8">
      <c r="A196" s="65" t="s">
        <v>193</v>
      </c>
      <c r="B196" s="66">
        <v>79</v>
      </c>
      <c r="C196" s="66">
        <f t="shared" si="13"/>
        <v>11455</v>
      </c>
      <c r="D196" s="67" t="s">
        <v>25</v>
      </c>
      <c r="E196" s="66">
        <v>0.95</v>
      </c>
      <c r="F196" s="66" t="s">
        <v>570</v>
      </c>
      <c r="G196" s="66">
        <v>67</v>
      </c>
      <c r="H196" s="83" t="s">
        <v>314</v>
      </c>
      <c r="I196" s="66" t="s">
        <v>20</v>
      </c>
      <c r="J196" s="94" t="s">
        <v>400</v>
      </c>
      <c r="K196" s="314"/>
      <c r="L196" s="94" t="s">
        <v>278</v>
      </c>
      <c r="M196" s="94" t="s">
        <v>513</v>
      </c>
      <c r="N196" s="314" t="s">
        <v>15</v>
      </c>
      <c r="O196" s="315" t="s">
        <v>280</v>
      </c>
      <c r="P196" s="84" t="s">
        <v>99</v>
      </c>
      <c r="Q196" s="68"/>
      <c r="R196" s="217"/>
      <c r="S196" s="217"/>
      <c r="T196" s="217">
        <v>5190</v>
      </c>
      <c r="U196" s="217">
        <v>6745</v>
      </c>
      <c r="V196" s="217">
        <v>7420</v>
      </c>
      <c r="W196" s="217"/>
      <c r="X196" s="217"/>
      <c r="Y196" s="217"/>
      <c r="Z196" s="217">
        <v>2048</v>
      </c>
      <c r="AA196" s="217"/>
      <c r="AB196" s="217"/>
    </row>
    <row r="197" spans="1:28" s="69" customFormat="1" ht="13.8">
      <c r="A197" s="65" t="s">
        <v>194</v>
      </c>
      <c r="B197" s="66">
        <v>54</v>
      </c>
      <c r="C197" s="66">
        <f t="shared" si="13"/>
        <v>7830</v>
      </c>
      <c r="D197" s="67" t="s">
        <v>25</v>
      </c>
      <c r="E197" s="66">
        <v>0.95</v>
      </c>
      <c r="F197" s="66" t="s">
        <v>26</v>
      </c>
      <c r="G197" s="66">
        <v>67</v>
      </c>
      <c r="H197" s="83" t="s">
        <v>314</v>
      </c>
      <c r="I197" s="66" t="s">
        <v>20</v>
      </c>
      <c r="J197" s="94" t="s">
        <v>390</v>
      </c>
      <c r="K197" s="314"/>
      <c r="L197" s="94" t="s">
        <v>278</v>
      </c>
      <c r="M197" s="94" t="s">
        <v>513</v>
      </c>
      <c r="N197" s="314" t="s">
        <v>15</v>
      </c>
      <c r="O197" s="315" t="s">
        <v>280</v>
      </c>
      <c r="P197" s="84" t="s">
        <v>99</v>
      </c>
      <c r="Q197" s="68"/>
      <c r="R197" s="217"/>
      <c r="S197" s="216"/>
      <c r="T197" s="216">
        <v>4490</v>
      </c>
      <c r="U197" s="216">
        <v>5835</v>
      </c>
      <c r="V197" s="216">
        <v>6420</v>
      </c>
      <c r="W197" s="216"/>
      <c r="X197" s="216"/>
      <c r="Y197" s="216"/>
      <c r="Z197" s="216">
        <v>2049</v>
      </c>
    </row>
    <row r="198" spans="1:28" s="69" customFormat="1" ht="13.8">
      <c r="A198" s="65" t="s">
        <v>195</v>
      </c>
      <c r="B198" s="66">
        <v>106</v>
      </c>
      <c r="C198" s="66">
        <f t="shared" si="13"/>
        <v>15370</v>
      </c>
      <c r="D198" s="67" t="s">
        <v>25</v>
      </c>
      <c r="E198" s="66">
        <v>0.95</v>
      </c>
      <c r="F198" s="66" t="s">
        <v>26</v>
      </c>
      <c r="G198" s="66">
        <v>67</v>
      </c>
      <c r="H198" s="83" t="s">
        <v>314</v>
      </c>
      <c r="I198" s="66" t="s">
        <v>20</v>
      </c>
      <c r="J198" s="94" t="s">
        <v>395</v>
      </c>
      <c r="K198" s="314"/>
      <c r="L198" s="94" t="s">
        <v>278</v>
      </c>
      <c r="M198" s="94" t="s">
        <v>513</v>
      </c>
      <c r="N198" s="314" t="s">
        <v>15</v>
      </c>
      <c r="O198" s="315" t="s">
        <v>280</v>
      </c>
      <c r="P198" s="84" t="s">
        <v>99</v>
      </c>
      <c r="Q198" s="68"/>
      <c r="R198" s="217"/>
      <c r="S198" s="216"/>
      <c r="T198" s="216">
        <v>7055</v>
      </c>
      <c r="U198" s="216">
        <v>9170</v>
      </c>
      <c r="V198" s="216">
        <v>10085</v>
      </c>
      <c r="W198" s="216"/>
      <c r="X198" s="216"/>
      <c r="Y198" s="216"/>
      <c r="Z198" s="216">
        <v>2050</v>
      </c>
    </row>
    <row r="199" spans="1:28" s="69" customFormat="1" ht="13.8">
      <c r="A199" s="65" t="s">
        <v>196</v>
      </c>
      <c r="B199" s="66">
        <v>158</v>
      </c>
      <c r="C199" s="66">
        <f t="shared" si="13"/>
        <v>22910</v>
      </c>
      <c r="D199" s="67" t="s">
        <v>25</v>
      </c>
      <c r="E199" s="66">
        <v>0.95</v>
      </c>
      <c r="F199" s="66" t="s">
        <v>26</v>
      </c>
      <c r="G199" s="66">
        <v>67</v>
      </c>
      <c r="H199" s="83" t="s">
        <v>314</v>
      </c>
      <c r="I199" s="66" t="s">
        <v>20</v>
      </c>
      <c r="J199" s="94" t="s">
        <v>402</v>
      </c>
      <c r="K199" s="314"/>
      <c r="L199" s="94" t="s">
        <v>278</v>
      </c>
      <c r="M199" s="94" t="s">
        <v>513</v>
      </c>
      <c r="N199" s="314" t="s">
        <v>15</v>
      </c>
      <c r="O199" s="315" t="s">
        <v>280</v>
      </c>
      <c r="P199" s="84" t="s">
        <v>99</v>
      </c>
      <c r="Q199" s="68"/>
      <c r="R199" s="217"/>
      <c r="S199" s="216"/>
      <c r="T199" s="216">
        <v>10390</v>
      </c>
      <c r="U199" s="216">
        <v>13505</v>
      </c>
      <c r="V199" s="216">
        <v>14855</v>
      </c>
      <c r="W199" s="216"/>
      <c r="X199" s="216"/>
      <c r="Y199" s="216"/>
      <c r="Z199" s="216">
        <v>2051</v>
      </c>
    </row>
    <row r="200" spans="1:28" s="69" customFormat="1" ht="13.8">
      <c r="A200" s="65" t="s">
        <v>197</v>
      </c>
      <c r="B200" s="66">
        <v>54</v>
      </c>
      <c r="C200" s="66">
        <f t="shared" si="13"/>
        <v>7830</v>
      </c>
      <c r="D200" s="67" t="s">
        <v>25</v>
      </c>
      <c r="E200" s="66">
        <v>0.95</v>
      </c>
      <c r="F200" s="66" t="s">
        <v>27</v>
      </c>
      <c r="G200" s="66">
        <v>67</v>
      </c>
      <c r="H200" s="83" t="s">
        <v>314</v>
      </c>
      <c r="I200" s="66" t="s">
        <v>20</v>
      </c>
      <c r="J200" s="94" t="s">
        <v>390</v>
      </c>
      <c r="K200" s="314"/>
      <c r="L200" s="94" t="s">
        <v>278</v>
      </c>
      <c r="M200" s="94" t="s">
        <v>513</v>
      </c>
      <c r="N200" s="314" t="s">
        <v>15</v>
      </c>
      <c r="O200" s="315" t="s">
        <v>280</v>
      </c>
      <c r="P200" s="84" t="s">
        <v>99</v>
      </c>
      <c r="Q200" s="68"/>
      <c r="R200" s="217"/>
      <c r="S200" s="216"/>
      <c r="T200" s="216">
        <v>4490</v>
      </c>
      <c r="U200" s="216">
        <v>5835</v>
      </c>
      <c r="V200" s="216">
        <v>6420</v>
      </c>
      <c r="W200" s="216"/>
      <c r="X200" s="216"/>
      <c r="Y200" s="216"/>
      <c r="Z200" s="216">
        <v>2052</v>
      </c>
    </row>
    <row r="201" spans="1:28" s="69" customFormat="1" ht="13.8">
      <c r="A201" s="65" t="s">
        <v>198</v>
      </c>
      <c r="B201" s="66">
        <v>106</v>
      </c>
      <c r="C201" s="66">
        <f t="shared" si="13"/>
        <v>15370</v>
      </c>
      <c r="D201" s="67" t="s">
        <v>25</v>
      </c>
      <c r="E201" s="66">
        <v>0.95</v>
      </c>
      <c r="F201" s="66" t="s">
        <v>27</v>
      </c>
      <c r="G201" s="66">
        <v>67</v>
      </c>
      <c r="H201" s="83" t="s">
        <v>314</v>
      </c>
      <c r="I201" s="66" t="s">
        <v>20</v>
      </c>
      <c r="J201" s="94" t="s">
        <v>395</v>
      </c>
      <c r="K201" s="314"/>
      <c r="L201" s="94" t="s">
        <v>278</v>
      </c>
      <c r="M201" s="94" t="s">
        <v>513</v>
      </c>
      <c r="N201" s="314" t="s">
        <v>15</v>
      </c>
      <c r="O201" s="315" t="s">
        <v>280</v>
      </c>
      <c r="P201" s="84" t="s">
        <v>99</v>
      </c>
      <c r="Q201" s="68"/>
      <c r="R201" s="217"/>
      <c r="S201" s="216"/>
      <c r="T201" s="216">
        <v>7055</v>
      </c>
      <c r="U201" s="216">
        <v>9170</v>
      </c>
      <c r="V201" s="216">
        <v>10085</v>
      </c>
      <c r="W201" s="216"/>
      <c r="X201" s="216"/>
      <c r="Y201" s="216"/>
      <c r="Z201" s="216">
        <v>2053</v>
      </c>
    </row>
    <row r="202" spans="1:28" s="69" customFormat="1" ht="13.8">
      <c r="A202" s="65" t="s">
        <v>199</v>
      </c>
      <c r="B202" s="66">
        <v>158</v>
      </c>
      <c r="C202" s="66">
        <f t="shared" si="13"/>
        <v>22910</v>
      </c>
      <c r="D202" s="67" t="s">
        <v>25</v>
      </c>
      <c r="E202" s="66">
        <v>0.95</v>
      </c>
      <c r="F202" s="66" t="s">
        <v>27</v>
      </c>
      <c r="G202" s="66">
        <v>67</v>
      </c>
      <c r="H202" s="83" t="s">
        <v>314</v>
      </c>
      <c r="I202" s="66" t="s">
        <v>20</v>
      </c>
      <c r="J202" s="94" t="s">
        <v>402</v>
      </c>
      <c r="K202" s="314"/>
      <c r="L202" s="94" t="s">
        <v>278</v>
      </c>
      <c r="M202" s="94" t="s">
        <v>513</v>
      </c>
      <c r="N202" s="314" t="s">
        <v>15</v>
      </c>
      <c r="O202" s="315" t="s">
        <v>280</v>
      </c>
      <c r="P202" s="84" t="s">
        <v>99</v>
      </c>
      <c r="Q202" s="68"/>
      <c r="R202" s="217"/>
      <c r="S202" s="216"/>
      <c r="T202" s="216">
        <v>10390</v>
      </c>
      <c r="U202" s="216">
        <v>13505</v>
      </c>
      <c r="V202" s="216">
        <v>14855</v>
      </c>
      <c r="W202" s="216"/>
      <c r="X202" s="216"/>
      <c r="Y202" s="216"/>
      <c r="Z202" s="216">
        <v>2054</v>
      </c>
    </row>
    <row r="203" spans="1:28" s="69" customFormat="1" ht="13.8">
      <c r="A203" s="65" t="s">
        <v>200</v>
      </c>
      <c r="B203" s="66">
        <v>54</v>
      </c>
      <c r="C203" s="66">
        <f t="shared" si="13"/>
        <v>7830</v>
      </c>
      <c r="D203" s="67" t="s">
        <v>25</v>
      </c>
      <c r="E203" s="66">
        <v>0.95</v>
      </c>
      <c r="F203" s="66" t="s">
        <v>28</v>
      </c>
      <c r="G203" s="66">
        <v>67</v>
      </c>
      <c r="H203" s="83" t="s">
        <v>314</v>
      </c>
      <c r="I203" s="66" t="s">
        <v>20</v>
      </c>
      <c r="J203" s="94" t="s">
        <v>390</v>
      </c>
      <c r="K203" s="314"/>
      <c r="L203" s="94" t="s">
        <v>278</v>
      </c>
      <c r="M203" s="94" t="s">
        <v>513</v>
      </c>
      <c r="N203" s="314" t="s">
        <v>15</v>
      </c>
      <c r="O203" s="315" t="s">
        <v>280</v>
      </c>
      <c r="P203" s="84" t="s">
        <v>99</v>
      </c>
      <c r="Q203" s="68"/>
      <c r="R203" s="217"/>
      <c r="S203" s="216"/>
      <c r="T203" s="216">
        <v>4490</v>
      </c>
      <c r="U203" s="216">
        <v>5835</v>
      </c>
      <c r="V203" s="216">
        <v>6420</v>
      </c>
      <c r="W203" s="216"/>
      <c r="X203" s="216"/>
      <c r="Y203" s="216"/>
      <c r="Z203" s="216">
        <v>2055</v>
      </c>
    </row>
    <row r="204" spans="1:28" s="69" customFormat="1" ht="13.8">
      <c r="A204" s="65" t="s">
        <v>201</v>
      </c>
      <c r="B204" s="66">
        <v>106</v>
      </c>
      <c r="C204" s="66">
        <f t="shared" si="13"/>
        <v>15370</v>
      </c>
      <c r="D204" s="67" t="s">
        <v>25</v>
      </c>
      <c r="E204" s="66">
        <v>0.95</v>
      </c>
      <c r="F204" s="66" t="s">
        <v>28</v>
      </c>
      <c r="G204" s="66">
        <v>67</v>
      </c>
      <c r="H204" s="83" t="s">
        <v>314</v>
      </c>
      <c r="I204" s="66" t="s">
        <v>20</v>
      </c>
      <c r="J204" s="94" t="s">
        <v>395</v>
      </c>
      <c r="K204" s="314"/>
      <c r="L204" s="94" t="s">
        <v>278</v>
      </c>
      <c r="M204" s="94" t="s">
        <v>513</v>
      </c>
      <c r="N204" s="314" t="s">
        <v>15</v>
      </c>
      <c r="O204" s="315" t="s">
        <v>280</v>
      </c>
      <c r="P204" s="84" t="s">
        <v>99</v>
      </c>
      <c r="Q204" s="68"/>
      <c r="R204" s="217"/>
      <c r="S204" s="216"/>
      <c r="T204" s="216">
        <v>7055</v>
      </c>
      <c r="U204" s="216">
        <v>9170</v>
      </c>
      <c r="V204" s="216">
        <v>10085</v>
      </c>
      <c r="W204" s="216"/>
      <c r="X204" s="216"/>
      <c r="Y204" s="216"/>
      <c r="Z204" s="216">
        <v>2056</v>
      </c>
    </row>
    <row r="205" spans="1:28" s="69" customFormat="1" ht="13.8">
      <c r="A205" s="65" t="s">
        <v>202</v>
      </c>
      <c r="B205" s="66">
        <v>158</v>
      </c>
      <c r="C205" s="66">
        <f t="shared" si="13"/>
        <v>22910</v>
      </c>
      <c r="D205" s="67" t="s">
        <v>25</v>
      </c>
      <c r="E205" s="66">
        <v>0.95</v>
      </c>
      <c r="F205" s="66" t="s">
        <v>28</v>
      </c>
      <c r="G205" s="66">
        <v>67</v>
      </c>
      <c r="H205" s="83" t="s">
        <v>314</v>
      </c>
      <c r="I205" s="66" t="s">
        <v>20</v>
      </c>
      <c r="J205" s="94" t="s">
        <v>402</v>
      </c>
      <c r="K205" s="314"/>
      <c r="L205" s="94" t="s">
        <v>278</v>
      </c>
      <c r="M205" s="94" t="s">
        <v>513</v>
      </c>
      <c r="N205" s="314" t="s">
        <v>15</v>
      </c>
      <c r="O205" s="315" t="s">
        <v>280</v>
      </c>
      <c r="P205" s="84" t="s">
        <v>99</v>
      </c>
      <c r="Q205" s="68"/>
      <c r="R205" s="217"/>
      <c r="S205" s="216"/>
      <c r="T205" s="216">
        <v>10390</v>
      </c>
      <c r="U205" s="216">
        <v>13505</v>
      </c>
      <c r="V205" s="216">
        <v>14855</v>
      </c>
      <c r="W205" s="216"/>
      <c r="X205" s="216"/>
      <c r="Y205" s="216"/>
      <c r="Z205" s="216">
        <v>2057</v>
      </c>
    </row>
    <row r="206" spans="1:28" s="69" customFormat="1" ht="13.8">
      <c r="A206" s="65" t="s">
        <v>203</v>
      </c>
      <c r="B206" s="66">
        <v>54</v>
      </c>
      <c r="C206" s="66">
        <f t="shared" si="13"/>
        <v>7830</v>
      </c>
      <c r="D206" s="67" t="s">
        <v>25</v>
      </c>
      <c r="E206" s="66">
        <v>0.95</v>
      </c>
      <c r="F206" s="66" t="s">
        <v>570</v>
      </c>
      <c r="G206" s="66">
        <v>67</v>
      </c>
      <c r="H206" s="83" t="s">
        <v>314</v>
      </c>
      <c r="I206" s="66" t="s">
        <v>20</v>
      </c>
      <c r="J206" s="94" t="s">
        <v>390</v>
      </c>
      <c r="K206" s="314"/>
      <c r="L206" s="94" t="s">
        <v>278</v>
      </c>
      <c r="M206" s="94" t="s">
        <v>513</v>
      </c>
      <c r="N206" s="314" t="s">
        <v>15</v>
      </c>
      <c r="O206" s="315" t="s">
        <v>280</v>
      </c>
      <c r="P206" s="84" t="s">
        <v>99</v>
      </c>
      <c r="Q206" s="68"/>
      <c r="R206" s="217"/>
      <c r="S206" s="216"/>
      <c r="T206" s="216">
        <v>4490</v>
      </c>
      <c r="U206" s="216">
        <v>5835</v>
      </c>
      <c r="V206" s="216">
        <v>6420</v>
      </c>
      <c r="W206" s="216"/>
      <c r="X206" s="216"/>
      <c r="Y206" s="216"/>
      <c r="Z206" s="216">
        <v>2058</v>
      </c>
    </row>
    <row r="207" spans="1:28" s="69" customFormat="1" ht="13.8">
      <c r="A207" s="70" t="s">
        <v>204</v>
      </c>
      <c r="B207" s="66">
        <v>106</v>
      </c>
      <c r="C207" s="66">
        <f t="shared" si="13"/>
        <v>15370</v>
      </c>
      <c r="D207" s="67" t="s">
        <v>25</v>
      </c>
      <c r="E207" s="66">
        <v>0.95</v>
      </c>
      <c r="F207" s="66" t="s">
        <v>570</v>
      </c>
      <c r="G207" s="66">
        <v>67</v>
      </c>
      <c r="H207" s="83" t="s">
        <v>314</v>
      </c>
      <c r="I207" s="66" t="s">
        <v>20</v>
      </c>
      <c r="J207" s="94" t="s">
        <v>395</v>
      </c>
      <c r="K207" s="314"/>
      <c r="L207" s="94" t="s">
        <v>278</v>
      </c>
      <c r="M207" s="94" t="s">
        <v>513</v>
      </c>
      <c r="N207" s="314" t="s">
        <v>15</v>
      </c>
      <c r="O207" s="315" t="s">
        <v>280</v>
      </c>
      <c r="P207" s="84" t="s">
        <v>99</v>
      </c>
      <c r="Q207" s="68"/>
      <c r="R207" s="217"/>
      <c r="S207" s="216"/>
      <c r="T207" s="216">
        <v>7055</v>
      </c>
      <c r="U207" s="216">
        <v>9170</v>
      </c>
      <c r="V207" s="216">
        <v>10085</v>
      </c>
      <c r="W207" s="216"/>
      <c r="X207" s="216"/>
      <c r="Y207" s="216"/>
      <c r="Z207" s="216">
        <v>2059</v>
      </c>
    </row>
    <row r="208" spans="1:28" s="69" customFormat="1" ht="13.8">
      <c r="A208" s="65" t="s">
        <v>205</v>
      </c>
      <c r="B208" s="66">
        <v>158</v>
      </c>
      <c r="C208" s="66">
        <f t="shared" si="13"/>
        <v>22910</v>
      </c>
      <c r="D208" s="67" t="s">
        <v>25</v>
      </c>
      <c r="E208" s="66">
        <v>0.95</v>
      </c>
      <c r="F208" s="66" t="s">
        <v>570</v>
      </c>
      <c r="G208" s="66">
        <v>67</v>
      </c>
      <c r="H208" s="83" t="s">
        <v>314</v>
      </c>
      <c r="I208" s="66" t="s">
        <v>20</v>
      </c>
      <c r="J208" s="94" t="s">
        <v>402</v>
      </c>
      <c r="K208" s="314"/>
      <c r="L208" s="94" t="s">
        <v>278</v>
      </c>
      <c r="M208" s="94" t="s">
        <v>513</v>
      </c>
      <c r="N208" s="314" t="s">
        <v>15</v>
      </c>
      <c r="O208" s="315" t="s">
        <v>280</v>
      </c>
      <c r="P208" s="84" t="s">
        <v>99</v>
      </c>
      <c r="Q208" s="68"/>
      <c r="R208" s="217"/>
      <c r="S208" s="216"/>
      <c r="T208" s="216">
        <v>10390</v>
      </c>
      <c r="U208" s="216">
        <v>13505</v>
      </c>
      <c r="V208" s="216">
        <v>14855</v>
      </c>
      <c r="W208" s="216"/>
      <c r="X208" s="216"/>
      <c r="Y208" s="216"/>
      <c r="Z208" s="216">
        <v>2060</v>
      </c>
    </row>
    <row r="209" spans="1:26" s="69" customFormat="1" ht="13.8">
      <c r="A209" s="65" t="s">
        <v>206</v>
      </c>
      <c r="B209" s="66">
        <v>81</v>
      </c>
      <c r="C209" s="66">
        <f t="shared" si="13"/>
        <v>11745</v>
      </c>
      <c r="D209" s="67" t="s">
        <v>25</v>
      </c>
      <c r="E209" s="66">
        <v>0.95</v>
      </c>
      <c r="F209" s="66" t="s">
        <v>26</v>
      </c>
      <c r="G209" s="66">
        <v>67</v>
      </c>
      <c r="H209" s="83" t="s">
        <v>314</v>
      </c>
      <c r="I209" s="66" t="s">
        <v>20</v>
      </c>
      <c r="J209" s="94" t="s">
        <v>391</v>
      </c>
      <c r="K209" s="314"/>
      <c r="L209" s="94" t="s">
        <v>278</v>
      </c>
      <c r="M209" s="94" t="s">
        <v>513</v>
      </c>
      <c r="N209" s="314" t="s">
        <v>15</v>
      </c>
      <c r="O209" s="315" t="s">
        <v>280</v>
      </c>
      <c r="P209" s="84" t="s">
        <v>99</v>
      </c>
      <c r="Q209" s="68"/>
      <c r="R209" s="217"/>
      <c r="S209" s="216"/>
      <c r="T209" s="216">
        <v>6730</v>
      </c>
      <c r="U209" s="216">
        <v>8750</v>
      </c>
      <c r="V209" s="216">
        <v>9625</v>
      </c>
      <c r="W209" s="216"/>
      <c r="X209" s="216"/>
      <c r="Y209" s="216"/>
      <c r="Z209" s="216">
        <v>2061</v>
      </c>
    </row>
    <row r="210" spans="1:26" s="69" customFormat="1" ht="13.8">
      <c r="A210" s="65" t="s">
        <v>207</v>
      </c>
      <c r="B210" s="66">
        <v>159</v>
      </c>
      <c r="C210" s="66">
        <f t="shared" si="13"/>
        <v>23055</v>
      </c>
      <c r="D210" s="67" t="s">
        <v>25</v>
      </c>
      <c r="E210" s="66">
        <v>0.95</v>
      </c>
      <c r="F210" s="66" t="s">
        <v>26</v>
      </c>
      <c r="G210" s="66">
        <v>67</v>
      </c>
      <c r="H210" s="83" t="s">
        <v>314</v>
      </c>
      <c r="I210" s="66" t="s">
        <v>20</v>
      </c>
      <c r="J210" s="94" t="s">
        <v>397</v>
      </c>
      <c r="K210" s="314"/>
      <c r="L210" s="94" t="s">
        <v>278</v>
      </c>
      <c r="M210" s="94" t="s">
        <v>513</v>
      </c>
      <c r="N210" s="314" t="s">
        <v>15</v>
      </c>
      <c r="O210" s="315" t="s">
        <v>280</v>
      </c>
      <c r="P210" s="84" t="s">
        <v>99</v>
      </c>
      <c r="Q210" s="68"/>
      <c r="R210" s="217"/>
      <c r="S210" s="216"/>
      <c r="T210" s="216">
        <v>10580</v>
      </c>
      <c r="U210" s="216">
        <v>13755</v>
      </c>
      <c r="V210" s="216">
        <v>15130</v>
      </c>
      <c r="W210" s="216"/>
      <c r="X210" s="216"/>
      <c r="Y210" s="216"/>
      <c r="Z210" s="216">
        <v>2062</v>
      </c>
    </row>
    <row r="211" spans="1:26" s="69" customFormat="1" ht="13.8">
      <c r="A211" s="65" t="s">
        <v>208</v>
      </c>
      <c r="B211" s="66">
        <v>237</v>
      </c>
      <c r="C211" s="66">
        <f t="shared" si="13"/>
        <v>34365</v>
      </c>
      <c r="D211" s="67" t="s">
        <v>25</v>
      </c>
      <c r="E211" s="66">
        <v>0.95</v>
      </c>
      <c r="F211" s="66" t="s">
        <v>26</v>
      </c>
      <c r="G211" s="66">
        <v>67</v>
      </c>
      <c r="H211" s="83" t="s">
        <v>314</v>
      </c>
      <c r="I211" s="66" t="s">
        <v>20</v>
      </c>
      <c r="J211" s="94" t="s">
        <v>398</v>
      </c>
      <c r="K211" s="314"/>
      <c r="L211" s="94" t="s">
        <v>278</v>
      </c>
      <c r="M211" s="94" t="s">
        <v>513</v>
      </c>
      <c r="N211" s="314" t="s">
        <v>15</v>
      </c>
      <c r="O211" s="315" t="s">
        <v>280</v>
      </c>
      <c r="P211" s="84" t="s">
        <v>99</v>
      </c>
      <c r="Q211" s="68"/>
      <c r="R211" s="217"/>
      <c r="S211" s="216"/>
      <c r="T211" s="216">
        <v>15580</v>
      </c>
      <c r="U211" s="216">
        <v>20255</v>
      </c>
      <c r="V211" s="216">
        <v>22280</v>
      </c>
      <c r="W211" s="216"/>
      <c r="X211" s="216"/>
      <c r="Y211" s="216"/>
      <c r="Z211" s="216">
        <v>2063</v>
      </c>
    </row>
    <row r="212" spans="1:26" s="69" customFormat="1" ht="13.8">
      <c r="A212" s="65" t="s">
        <v>209</v>
      </c>
      <c r="B212" s="66">
        <v>81</v>
      </c>
      <c r="C212" s="66">
        <f t="shared" si="13"/>
        <v>11745</v>
      </c>
      <c r="D212" s="67" t="s">
        <v>25</v>
      </c>
      <c r="E212" s="66">
        <v>0.95</v>
      </c>
      <c r="F212" s="66" t="s">
        <v>27</v>
      </c>
      <c r="G212" s="66">
        <v>67</v>
      </c>
      <c r="H212" s="83" t="s">
        <v>314</v>
      </c>
      <c r="I212" s="66" t="s">
        <v>20</v>
      </c>
      <c r="J212" s="94" t="s">
        <v>391</v>
      </c>
      <c r="K212" s="314"/>
      <c r="L212" s="94" t="s">
        <v>278</v>
      </c>
      <c r="M212" s="94" t="s">
        <v>513</v>
      </c>
      <c r="N212" s="314" t="s">
        <v>15</v>
      </c>
      <c r="O212" s="315" t="s">
        <v>280</v>
      </c>
      <c r="P212" s="84" t="s">
        <v>99</v>
      </c>
      <c r="Q212" s="68"/>
      <c r="R212" s="217"/>
      <c r="S212" s="216"/>
      <c r="T212" s="216">
        <v>6730</v>
      </c>
      <c r="U212" s="216">
        <v>8750</v>
      </c>
      <c r="V212" s="216">
        <v>9625</v>
      </c>
      <c r="W212" s="216"/>
      <c r="X212" s="216"/>
      <c r="Y212" s="216"/>
      <c r="Z212" s="216">
        <v>2064</v>
      </c>
    </row>
    <row r="213" spans="1:26" s="69" customFormat="1" ht="13.8">
      <c r="A213" s="65" t="s">
        <v>210</v>
      </c>
      <c r="B213" s="66">
        <v>159</v>
      </c>
      <c r="C213" s="66">
        <f t="shared" si="13"/>
        <v>23055</v>
      </c>
      <c r="D213" s="67" t="s">
        <v>25</v>
      </c>
      <c r="E213" s="66">
        <v>0.95</v>
      </c>
      <c r="F213" s="66" t="s">
        <v>27</v>
      </c>
      <c r="G213" s="66">
        <v>67</v>
      </c>
      <c r="H213" s="83" t="s">
        <v>314</v>
      </c>
      <c r="I213" s="66" t="s">
        <v>20</v>
      </c>
      <c r="J213" s="94" t="s">
        <v>397</v>
      </c>
      <c r="K213" s="314"/>
      <c r="L213" s="94" t="s">
        <v>278</v>
      </c>
      <c r="M213" s="94" t="s">
        <v>513</v>
      </c>
      <c r="N213" s="314" t="s">
        <v>15</v>
      </c>
      <c r="O213" s="315" t="s">
        <v>280</v>
      </c>
      <c r="P213" s="84" t="s">
        <v>99</v>
      </c>
      <c r="Q213" s="68"/>
      <c r="R213" s="217"/>
      <c r="S213" s="216"/>
      <c r="T213" s="216">
        <v>10580</v>
      </c>
      <c r="U213" s="216">
        <v>13755</v>
      </c>
      <c r="V213" s="216">
        <v>15130</v>
      </c>
      <c r="W213" s="216"/>
      <c r="X213" s="216"/>
      <c r="Y213" s="216"/>
      <c r="Z213" s="216">
        <v>2065</v>
      </c>
    </row>
    <row r="214" spans="1:26" s="69" customFormat="1" ht="13.8">
      <c r="A214" s="65" t="s">
        <v>211</v>
      </c>
      <c r="B214" s="66">
        <v>237</v>
      </c>
      <c r="C214" s="66">
        <f t="shared" si="13"/>
        <v>34365</v>
      </c>
      <c r="D214" s="67" t="s">
        <v>25</v>
      </c>
      <c r="E214" s="66">
        <v>0.95</v>
      </c>
      <c r="F214" s="66" t="s">
        <v>27</v>
      </c>
      <c r="G214" s="66">
        <v>67</v>
      </c>
      <c r="H214" s="83" t="s">
        <v>314</v>
      </c>
      <c r="I214" s="66" t="s">
        <v>20</v>
      </c>
      <c r="J214" s="94" t="s">
        <v>398</v>
      </c>
      <c r="K214" s="314"/>
      <c r="L214" s="94" t="s">
        <v>278</v>
      </c>
      <c r="M214" s="94" t="s">
        <v>513</v>
      </c>
      <c r="N214" s="314" t="s">
        <v>15</v>
      </c>
      <c r="O214" s="315" t="s">
        <v>280</v>
      </c>
      <c r="P214" s="84" t="s">
        <v>99</v>
      </c>
      <c r="Q214" s="68"/>
      <c r="R214" s="217"/>
      <c r="S214" s="216"/>
      <c r="T214" s="216">
        <v>15580</v>
      </c>
      <c r="U214" s="216">
        <v>20255</v>
      </c>
      <c r="V214" s="216">
        <v>22280</v>
      </c>
      <c r="W214" s="216"/>
      <c r="X214" s="216"/>
      <c r="Y214" s="216"/>
      <c r="Z214" s="216">
        <v>2066</v>
      </c>
    </row>
    <row r="215" spans="1:26" s="69" customFormat="1" ht="13.8">
      <c r="A215" s="65" t="s">
        <v>212</v>
      </c>
      <c r="B215" s="66">
        <v>81</v>
      </c>
      <c r="C215" s="66">
        <f t="shared" ref="C215:C221" si="16">B215*145</f>
        <v>11745</v>
      </c>
      <c r="D215" s="67" t="s">
        <v>25</v>
      </c>
      <c r="E215" s="66">
        <v>0.95</v>
      </c>
      <c r="F215" s="283" t="s">
        <v>28</v>
      </c>
      <c r="G215" s="66">
        <v>67</v>
      </c>
      <c r="H215" s="83" t="s">
        <v>314</v>
      </c>
      <c r="I215" s="66" t="s">
        <v>20</v>
      </c>
      <c r="J215" s="94" t="s">
        <v>391</v>
      </c>
      <c r="K215" s="314"/>
      <c r="L215" s="94" t="s">
        <v>278</v>
      </c>
      <c r="M215" s="94" t="s">
        <v>513</v>
      </c>
      <c r="N215" s="314" t="s">
        <v>15</v>
      </c>
      <c r="O215" s="315" t="s">
        <v>280</v>
      </c>
      <c r="P215" s="84" t="s">
        <v>99</v>
      </c>
      <c r="Q215" s="68"/>
      <c r="R215" s="217"/>
      <c r="S215" s="216"/>
      <c r="T215" s="216">
        <v>6730</v>
      </c>
      <c r="U215" s="216">
        <v>8750</v>
      </c>
      <c r="V215" s="216">
        <v>9625</v>
      </c>
      <c r="W215" s="216"/>
      <c r="X215" s="216"/>
      <c r="Y215" s="216"/>
      <c r="Z215" s="216">
        <v>2067</v>
      </c>
    </row>
    <row r="216" spans="1:26" s="69" customFormat="1" ht="13.8">
      <c r="A216" s="65" t="s">
        <v>213</v>
      </c>
      <c r="B216" s="66">
        <v>159</v>
      </c>
      <c r="C216" s="66">
        <f t="shared" si="16"/>
        <v>23055</v>
      </c>
      <c r="D216" s="67" t="s">
        <v>25</v>
      </c>
      <c r="E216" s="66">
        <v>0.95</v>
      </c>
      <c r="F216" s="66" t="s">
        <v>28</v>
      </c>
      <c r="G216" s="66">
        <v>67</v>
      </c>
      <c r="H216" s="83" t="s">
        <v>314</v>
      </c>
      <c r="I216" s="66" t="s">
        <v>20</v>
      </c>
      <c r="J216" s="94" t="s">
        <v>397</v>
      </c>
      <c r="K216" s="314"/>
      <c r="L216" s="94" t="s">
        <v>278</v>
      </c>
      <c r="M216" s="94" t="s">
        <v>513</v>
      </c>
      <c r="N216" s="314" t="s">
        <v>15</v>
      </c>
      <c r="O216" s="315" t="s">
        <v>280</v>
      </c>
      <c r="P216" s="84" t="s">
        <v>99</v>
      </c>
      <c r="Q216" s="68"/>
      <c r="R216" s="217"/>
      <c r="S216" s="216"/>
      <c r="T216" s="216">
        <v>10580</v>
      </c>
      <c r="U216" s="216">
        <v>13755</v>
      </c>
      <c r="V216" s="216">
        <v>15130</v>
      </c>
      <c r="W216" s="216"/>
      <c r="X216" s="216"/>
      <c r="Y216" s="216"/>
      <c r="Z216" s="216">
        <v>2068</v>
      </c>
    </row>
    <row r="217" spans="1:26" s="69" customFormat="1" ht="13.8">
      <c r="A217" s="65" t="s">
        <v>214</v>
      </c>
      <c r="B217" s="66">
        <v>237</v>
      </c>
      <c r="C217" s="66">
        <f t="shared" si="16"/>
        <v>34365</v>
      </c>
      <c r="D217" s="67" t="s">
        <v>25</v>
      </c>
      <c r="E217" s="66">
        <v>0.95</v>
      </c>
      <c r="F217" s="66" t="s">
        <v>28</v>
      </c>
      <c r="G217" s="66">
        <v>67</v>
      </c>
      <c r="H217" s="83" t="s">
        <v>314</v>
      </c>
      <c r="I217" s="66" t="s">
        <v>20</v>
      </c>
      <c r="J217" s="94" t="s">
        <v>398</v>
      </c>
      <c r="K217" s="314"/>
      <c r="L217" s="94" t="s">
        <v>278</v>
      </c>
      <c r="M217" s="94" t="s">
        <v>513</v>
      </c>
      <c r="N217" s="314" t="s">
        <v>15</v>
      </c>
      <c r="O217" s="315" t="s">
        <v>280</v>
      </c>
      <c r="P217" s="84" t="s">
        <v>99</v>
      </c>
      <c r="Q217" s="68"/>
      <c r="R217" s="217"/>
      <c r="S217" s="216"/>
      <c r="T217" s="216">
        <v>15580</v>
      </c>
      <c r="U217" s="216">
        <v>20255</v>
      </c>
      <c r="V217" s="216">
        <v>22280</v>
      </c>
      <c r="W217" s="216"/>
      <c r="X217" s="216"/>
      <c r="Y217" s="216"/>
      <c r="Z217" s="216">
        <v>2069</v>
      </c>
    </row>
    <row r="218" spans="1:26" s="69" customFormat="1" ht="13.8">
      <c r="A218" s="65" t="s">
        <v>215</v>
      </c>
      <c r="B218" s="66">
        <v>81</v>
      </c>
      <c r="C218" s="66">
        <f t="shared" si="16"/>
        <v>11745</v>
      </c>
      <c r="D218" s="67" t="s">
        <v>25</v>
      </c>
      <c r="E218" s="66">
        <v>0.95</v>
      </c>
      <c r="F218" s="283" t="s">
        <v>570</v>
      </c>
      <c r="G218" s="66">
        <v>67</v>
      </c>
      <c r="H218" s="83" t="s">
        <v>314</v>
      </c>
      <c r="I218" s="66" t="s">
        <v>20</v>
      </c>
      <c r="J218" s="94" t="s">
        <v>391</v>
      </c>
      <c r="K218" s="314"/>
      <c r="L218" s="94" t="s">
        <v>278</v>
      </c>
      <c r="M218" s="94" t="s">
        <v>513</v>
      </c>
      <c r="N218" s="314" t="s">
        <v>15</v>
      </c>
      <c r="O218" s="315" t="s">
        <v>280</v>
      </c>
      <c r="P218" s="84" t="s">
        <v>99</v>
      </c>
      <c r="Q218" s="68"/>
      <c r="R218" s="217"/>
      <c r="S218" s="216"/>
      <c r="T218" s="216">
        <v>6730</v>
      </c>
      <c r="U218" s="216">
        <v>8750</v>
      </c>
      <c r="V218" s="216">
        <v>9625</v>
      </c>
      <c r="W218" s="216"/>
      <c r="X218" s="216"/>
      <c r="Y218" s="216"/>
      <c r="Z218" s="216">
        <v>2070</v>
      </c>
    </row>
    <row r="219" spans="1:26" s="69" customFormat="1" ht="13.8">
      <c r="A219" s="65" t="s">
        <v>216</v>
      </c>
      <c r="B219" s="66">
        <v>159</v>
      </c>
      <c r="C219" s="66">
        <f t="shared" si="16"/>
        <v>23055</v>
      </c>
      <c r="D219" s="67" t="s">
        <v>25</v>
      </c>
      <c r="E219" s="66">
        <v>0.95</v>
      </c>
      <c r="F219" s="66" t="s">
        <v>570</v>
      </c>
      <c r="G219" s="66">
        <v>67</v>
      </c>
      <c r="H219" s="83" t="s">
        <v>314</v>
      </c>
      <c r="I219" s="66" t="s">
        <v>20</v>
      </c>
      <c r="J219" s="94" t="s">
        <v>397</v>
      </c>
      <c r="K219" s="314"/>
      <c r="L219" s="94" t="s">
        <v>278</v>
      </c>
      <c r="M219" s="94" t="s">
        <v>513</v>
      </c>
      <c r="N219" s="314" t="s">
        <v>15</v>
      </c>
      <c r="O219" s="315" t="s">
        <v>280</v>
      </c>
      <c r="P219" s="84" t="s">
        <v>99</v>
      </c>
      <c r="Q219" s="68"/>
      <c r="R219" s="217"/>
      <c r="S219" s="216"/>
      <c r="T219" s="216">
        <v>10580</v>
      </c>
      <c r="U219" s="216">
        <v>13755</v>
      </c>
      <c r="V219" s="216">
        <v>15130</v>
      </c>
      <c r="W219" s="216"/>
      <c r="X219" s="216"/>
      <c r="Y219" s="216"/>
      <c r="Z219" s="216">
        <v>2071</v>
      </c>
    </row>
    <row r="220" spans="1:26" s="69" customFormat="1" ht="13.8">
      <c r="A220" s="65" t="s">
        <v>217</v>
      </c>
      <c r="B220" s="66">
        <v>237</v>
      </c>
      <c r="C220" s="66">
        <f t="shared" si="16"/>
        <v>34365</v>
      </c>
      <c r="D220" s="67" t="s">
        <v>25</v>
      </c>
      <c r="E220" s="66">
        <v>0.95</v>
      </c>
      <c r="F220" s="66" t="s">
        <v>570</v>
      </c>
      <c r="G220" s="66">
        <v>67</v>
      </c>
      <c r="H220" s="83" t="s">
        <v>314</v>
      </c>
      <c r="I220" s="66" t="s">
        <v>20</v>
      </c>
      <c r="J220" s="94" t="s">
        <v>398</v>
      </c>
      <c r="K220" s="314"/>
      <c r="L220" s="94" t="s">
        <v>278</v>
      </c>
      <c r="M220" s="94" t="s">
        <v>513</v>
      </c>
      <c r="N220" s="314" t="s">
        <v>15</v>
      </c>
      <c r="O220" s="315" t="s">
        <v>280</v>
      </c>
      <c r="P220" s="84" t="s">
        <v>99</v>
      </c>
      <c r="Q220" s="68"/>
      <c r="R220" s="217"/>
      <c r="S220" s="216"/>
      <c r="T220" s="216">
        <v>15580</v>
      </c>
      <c r="U220" s="216">
        <v>20255</v>
      </c>
      <c r="V220" s="216">
        <v>22280</v>
      </c>
      <c r="W220" s="216"/>
      <c r="X220" s="216"/>
      <c r="Y220" s="216"/>
      <c r="Z220" s="216">
        <v>2072</v>
      </c>
    </row>
    <row r="221" spans="1:26" s="69" customFormat="1">
      <c r="A221" s="65" t="s">
        <v>553</v>
      </c>
      <c r="B221" s="66">
        <v>115</v>
      </c>
      <c r="C221" s="66">
        <f t="shared" si="16"/>
        <v>16675</v>
      </c>
      <c r="D221" s="67" t="s">
        <v>25</v>
      </c>
      <c r="E221" s="66">
        <v>0.95</v>
      </c>
      <c r="F221" s="66" t="s">
        <v>28</v>
      </c>
      <c r="G221" s="66">
        <v>67</v>
      </c>
      <c r="H221" s="83" t="s">
        <v>314</v>
      </c>
      <c r="I221" s="66" t="s">
        <v>20</v>
      </c>
      <c r="J221" s="94" t="s">
        <v>521</v>
      </c>
      <c r="K221" s="314"/>
      <c r="L221" s="94" t="s">
        <v>278</v>
      </c>
      <c r="M221" s="94" t="s">
        <v>513</v>
      </c>
      <c r="N221" s="314" t="s">
        <v>15</v>
      </c>
      <c r="O221" s="315" t="s">
        <v>546</v>
      </c>
      <c r="P221" s="84" t="s">
        <v>99</v>
      </c>
      <c r="Q221" s="68"/>
      <c r="R221" s="217"/>
      <c r="S221" s="216"/>
      <c r="T221" s="216">
        <v>7005</v>
      </c>
      <c r="U221" s="216">
        <v>9105</v>
      </c>
      <c r="V221" s="216">
        <v>10015</v>
      </c>
      <c r="W221" s="216"/>
      <c r="X221" s="216"/>
      <c r="Y221" s="216"/>
      <c r="Z221" s="216">
        <v>2073</v>
      </c>
    </row>
    <row r="222" spans="1:26" s="69" customFormat="1" ht="13.8">
      <c r="A222" s="65" t="s">
        <v>415</v>
      </c>
      <c r="B222" s="66">
        <v>145</v>
      </c>
      <c r="C222" s="66">
        <f>B222*145</f>
        <v>21025</v>
      </c>
      <c r="D222" s="67" t="s">
        <v>25</v>
      </c>
      <c r="E222" s="66">
        <v>0.95</v>
      </c>
      <c r="F222" s="66" t="s">
        <v>28</v>
      </c>
      <c r="G222" s="66">
        <v>67</v>
      </c>
      <c r="H222" s="65" t="s">
        <v>314</v>
      </c>
      <c r="I222" s="65" t="s">
        <v>20</v>
      </c>
      <c r="J222" s="84" t="s">
        <v>416</v>
      </c>
      <c r="K222" s="84"/>
      <c r="L222" s="84" t="s">
        <v>278</v>
      </c>
      <c r="M222" s="84" t="s">
        <v>513</v>
      </c>
      <c r="N222" s="314" t="s">
        <v>15</v>
      </c>
      <c r="O222" s="84" t="s">
        <v>280</v>
      </c>
      <c r="P222" s="84" t="s">
        <v>99</v>
      </c>
      <c r="Q222" s="68"/>
      <c r="R222" s="217"/>
      <c r="S222" s="216"/>
      <c r="T222" s="216">
        <v>8470</v>
      </c>
      <c r="U222" s="216">
        <v>11010</v>
      </c>
      <c r="V222" s="216">
        <v>12110</v>
      </c>
      <c r="W222" s="216"/>
      <c r="X222" s="216"/>
      <c r="Y222" s="216"/>
      <c r="Z222" s="216">
        <v>2074</v>
      </c>
    </row>
    <row r="223" spans="1:26" s="69" customFormat="1">
      <c r="A223" s="70" t="s">
        <v>548</v>
      </c>
      <c r="B223" s="66">
        <v>395</v>
      </c>
      <c r="C223" s="66">
        <f>B223*145</f>
        <v>57275</v>
      </c>
      <c r="D223" s="67" t="s">
        <v>25</v>
      </c>
      <c r="E223" s="66">
        <v>0.95</v>
      </c>
      <c r="F223" s="66" t="s">
        <v>27</v>
      </c>
      <c r="G223" s="66">
        <v>67</v>
      </c>
      <c r="H223" s="65" t="s">
        <v>314</v>
      </c>
      <c r="I223" s="65" t="s">
        <v>20</v>
      </c>
      <c r="J223" s="94" t="s">
        <v>547</v>
      </c>
      <c r="K223" s="84"/>
      <c r="L223" s="84" t="s">
        <v>278</v>
      </c>
      <c r="M223" s="84" t="s">
        <v>513</v>
      </c>
      <c r="N223" s="314" t="s">
        <v>15</v>
      </c>
      <c r="O223" s="84" t="s">
        <v>546</v>
      </c>
      <c r="P223" s="84" t="s">
        <v>99</v>
      </c>
      <c r="Q223" s="68"/>
      <c r="R223" s="217"/>
      <c r="S223" s="216"/>
      <c r="T223" s="216">
        <v>26510</v>
      </c>
      <c r="U223" s="216">
        <v>34465</v>
      </c>
      <c r="V223" s="216">
        <v>37910</v>
      </c>
      <c r="W223" s="216"/>
      <c r="X223" s="216"/>
      <c r="Y223" s="216"/>
      <c r="Z223" s="216">
        <v>2075</v>
      </c>
    </row>
    <row r="224" spans="1:26" s="261" customFormat="1">
      <c r="A224" s="255" t="s">
        <v>549</v>
      </c>
      <c r="B224" s="256">
        <v>55</v>
      </c>
      <c r="C224" s="256">
        <f>B224*135</f>
        <v>7425</v>
      </c>
      <c r="D224" s="257" t="s">
        <v>25</v>
      </c>
      <c r="E224" s="256">
        <v>0.95</v>
      </c>
      <c r="F224" s="305" t="s">
        <v>27</v>
      </c>
      <c r="G224" s="256">
        <v>67</v>
      </c>
      <c r="H224" s="258" t="s">
        <v>314</v>
      </c>
      <c r="I224" s="256" t="s">
        <v>20</v>
      </c>
      <c r="J224" s="294" t="s">
        <v>533</v>
      </c>
      <c r="K224" s="316"/>
      <c r="L224" s="276" t="s">
        <v>278</v>
      </c>
      <c r="M224" s="276" t="s">
        <v>513</v>
      </c>
      <c r="N224" s="316" t="s">
        <v>544</v>
      </c>
      <c r="O224" s="317" t="s">
        <v>18</v>
      </c>
      <c r="P224" s="317" t="s">
        <v>512</v>
      </c>
      <c r="Q224" s="259"/>
      <c r="R224" s="260"/>
      <c r="S224" s="216"/>
      <c r="T224" s="216">
        <v>2750</v>
      </c>
      <c r="U224" s="216">
        <v>3575</v>
      </c>
      <c r="V224" s="216">
        <v>3935</v>
      </c>
      <c r="W224" s="216"/>
      <c r="X224" s="216"/>
      <c r="Y224" s="216"/>
      <c r="Z224" s="216">
        <v>9070</v>
      </c>
    </row>
    <row r="225" spans="1:27" s="262" customFormat="1">
      <c r="A225" s="255" t="s">
        <v>550</v>
      </c>
      <c r="B225" s="256">
        <v>55</v>
      </c>
      <c r="C225" s="256">
        <v>7425</v>
      </c>
      <c r="D225" s="257" t="s">
        <v>25</v>
      </c>
      <c r="E225" s="256">
        <v>0.95</v>
      </c>
      <c r="F225" s="305" t="s">
        <v>28</v>
      </c>
      <c r="G225" s="256">
        <v>67</v>
      </c>
      <c r="H225" s="262" t="s">
        <v>314</v>
      </c>
      <c r="I225" s="262" t="s">
        <v>20</v>
      </c>
      <c r="J225" s="294" t="s">
        <v>533</v>
      </c>
      <c r="K225" s="294"/>
      <c r="L225" s="294" t="s">
        <v>278</v>
      </c>
      <c r="M225" s="294" t="s">
        <v>513</v>
      </c>
      <c r="N225" s="316" t="s">
        <v>544</v>
      </c>
      <c r="O225" s="317" t="s">
        <v>18</v>
      </c>
      <c r="P225" s="294" t="s">
        <v>512</v>
      </c>
      <c r="S225" s="216"/>
      <c r="T225" s="216">
        <v>2750</v>
      </c>
      <c r="U225" s="216">
        <v>3575</v>
      </c>
      <c r="V225" s="216">
        <v>3935</v>
      </c>
      <c r="W225" s="216"/>
      <c r="X225" s="216"/>
      <c r="Y225" s="216"/>
      <c r="Z225" s="216">
        <v>9071</v>
      </c>
    </row>
    <row r="226" spans="1:27" s="261" customFormat="1">
      <c r="A226" s="255" t="s">
        <v>551</v>
      </c>
      <c r="B226" s="256">
        <v>55</v>
      </c>
      <c r="C226" s="256">
        <f>B226*135</f>
        <v>7425</v>
      </c>
      <c r="D226" s="257" t="s">
        <v>25</v>
      </c>
      <c r="E226" s="256">
        <v>0.95</v>
      </c>
      <c r="F226" s="305" t="s">
        <v>27</v>
      </c>
      <c r="G226" s="256">
        <v>67</v>
      </c>
      <c r="H226" s="258" t="s">
        <v>314</v>
      </c>
      <c r="I226" s="256" t="s">
        <v>20</v>
      </c>
      <c r="J226" s="294" t="s">
        <v>538</v>
      </c>
      <c r="K226" s="316"/>
      <c r="L226" s="276" t="s">
        <v>278</v>
      </c>
      <c r="M226" s="276" t="s">
        <v>513</v>
      </c>
      <c r="N226" s="316" t="s">
        <v>544</v>
      </c>
      <c r="O226" s="317" t="s">
        <v>18</v>
      </c>
      <c r="P226" s="317" t="s">
        <v>512</v>
      </c>
      <c r="Q226" s="259"/>
      <c r="R226" s="260"/>
      <c r="S226" s="216"/>
      <c r="T226" s="216">
        <v>2750</v>
      </c>
      <c r="U226" s="216">
        <v>3575</v>
      </c>
      <c r="V226" s="216">
        <v>3935</v>
      </c>
      <c r="W226" s="216"/>
      <c r="X226" s="216"/>
      <c r="Y226" s="216"/>
      <c r="Z226" s="216">
        <v>9072</v>
      </c>
    </row>
    <row r="227" spans="1:27" s="262" customFormat="1">
      <c r="A227" s="255" t="s">
        <v>552</v>
      </c>
      <c r="B227" s="256">
        <v>55</v>
      </c>
      <c r="C227" s="256">
        <v>7425</v>
      </c>
      <c r="D227" s="257" t="s">
        <v>25</v>
      </c>
      <c r="E227" s="256">
        <v>0.95</v>
      </c>
      <c r="F227" s="305" t="s">
        <v>28</v>
      </c>
      <c r="G227" s="256">
        <v>67</v>
      </c>
      <c r="H227" s="262" t="s">
        <v>314</v>
      </c>
      <c r="I227" s="262" t="s">
        <v>20</v>
      </c>
      <c r="J227" s="294" t="s">
        <v>538</v>
      </c>
      <c r="K227" s="294"/>
      <c r="L227" s="294" t="s">
        <v>278</v>
      </c>
      <c r="M227" s="294" t="s">
        <v>513</v>
      </c>
      <c r="N227" s="316" t="s">
        <v>544</v>
      </c>
      <c r="O227" s="317" t="s">
        <v>18</v>
      </c>
      <c r="P227" s="294" t="s">
        <v>512</v>
      </c>
      <c r="S227" s="216"/>
      <c r="T227" s="216">
        <v>2750</v>
      </c>
      <c r="U227" s="216">
        <v>3575</v>
      </c>
      <c r="V227" s="216">
        <v>3935</v>
      </c>
      <c r="W227" s="216"/>
      <c r="X227" s="216"/>
      <c r="Y227" s="216"/>
      <c r="Z227" s="216">
        <v>9073</v>
      </c>
    </row>
    <row r="228" spans="1:27" s="62" customFormat="1">
      <c r="A228" s="61" t="s">
        <v>218</v>
      </c>
      <c r="B228" s="60">
        <v>40</v>
      </c>
      <c r="C228" s="60">
        <f>B228*175</f>
        <v>7000</v>
      </c>
      <c r="D228" s="289" t="s">
        <v>25</v>
      </c>
      <c r="E228" s="60">
        <v>0.95</v>
      </c>
      <c r="F228" s="63" t="s">
        <v>567</v>
      </c>
      <c r="G228" s="60">
        <v>67</v>
      </c>
      <c r="H228" s="59" t="s">
        <v>23</v>
      </c>
      <c r="I228" s="63" t="s">
        <v>20</v>
      </c>
      <c r="J228" s="87" t="s">
        <v>86</v>
      </c>
      <c r="K228" s="295"/>
      <c r="L228" s="87" t="s">
        <v>279</v>
      </c>
      <c r="M228" s="87" t="s">
        <v>513</v>
      </c>
      <c r="N228" s="318" t="s">
        <v>22</v>
      </c>
      <c r="O228" s="295" t="s">
        <v>18</v>
      </c>
      <c r="P228" s="295" t="s">
        <v>99</v>
      </c>
      <c r="R228" s="212"/>
      <c r="S228" s="212"/>
      <c r="T228" s="212">
        <v>3730</v>
      </c>
      <c r="U228" s="212">
        <v>4850</v>
      </c>
      <c r="V228" s="212">
        <v>5335</v>
      </c>
      <c r="W228" s="212"/>
      <c r="X228" s="212"/>
      <c r="Y228" s="212"/>
      <c r="Z228" s="212">
        <v>5001</v>
      </c>
      <c r="AA228" s="212"/>
    </row>
    <row r="229" spans="1:27" s="62" customFormat="1">
      <c r="A229" s="59" t="s">
        <v>219</v>
      </c>
      <c r="B229" s="60">
        <v>60</v>
      </c>
      <c r="C229" s="60">
        <f>B229*160</f>
        <v>9600</v>
      </c>
      <c r="D229" s="289" t="s">
        <v>25</v>
      </c>
      <c r="E229" s="60">
        <v>0.95</v>
      </c>
      <c r="F229" s="63" t="s">
        <v>567</v>
      </c>
      <c r="G229" s="60">
        <v>67</v>
      </c>
      <c r="H229" s="59" t="s">
        <v>23</v>
      </c>
      <c r="I229" s="63" t="s">
        <v>20</v>
      </c>
      <c r="J229" s="87" t="s">
        <v>525</v>
      </c>
      <c r="K229" s="295"/>
      <c r="L229" s="87" t="s">
        <v>279</v>
      </c>
      <c r="M229" s="87" t="s">
        <v>513</v>
      </c>
      <c r="N229" s="318" t="s">
        <v>22</v>
      </c>
      <c r="O229" s="295" t="s">
        <v>18</v>
      </c>
      <c r="P229" s="295" t="s">
        <v>99</v>
      </c>
      <c r="R229" s="212"/>
      <c r="S229" s="212"/>
      <c r="T229" s="212">
        <v>3730</v>
      </c>
      <c r="U229" s="212">
        <v>4850</v>
      </c>
      <c r="V229" s="212">
        <v>5335</v>
      </c>
      <c r="W229" s="212"/>
      <c r="X229" s="212"/>
      <c r="Y229" s="212"/>
      <c r="Z229" s="212">
        <v>5002</v>
      </c>
      <c r="AA229" s="212"/>
    </row>
    <row r="230" spans="1:27" s="62" customFormat="1">
      <c r="A230" s="61" t="s">
        <v>220</v>
      </c>
      <c r="B230" s="60">
        <v>40</v>
      </c>
      <c r="C230" s="60">
        <f>B230*175</f>
        <v>7000</v>
      </c>
      <c r="D230" s="289" t="s">
        <v>25</v>
      </c>
      <c r="E230" s="60">
        <v>0.95</v>
      </c>
      <c r="F230" s="63" t="s">
        <v>571</v>
      </c>
      <c r="G230" s="60">
        <v>67</v>
      </c>
      <c r="H230" s="59" t="s">
        <v>23</v>
      </c>
      <c r="I230" s="63" t="s">
        <v>20</v>
      </c>
      <c r="J230" s="87" t="s">
        <v>86</v>
      </c>
      <c r="K230" s="295"/>
      <c r="L230" s="87" t="s">
        <v>279</v>
      </c>
      <c r="M230" s="87" t="s">
        <v>513</v>
      </c>
      <c r="N230" s="318" t="s">
        <v>22</v>
      </c>
      <c r="O230" s="295" t="s">
        <v>18</v>
      </c>
      <c r="P230" s="295" t="s">
        <v>99</v>
      </c>
      <c r="R230" s="212"/>
      <c r="S230" s="212"/>
      <c r="T230" s="212">
        <v>3730</v>
      </c>
      <c r="U230" s="212">
        <v>4850</v>
      </c>
      <c r="V230" s="212">
        <v>5335</v>
      </c>
      <c r="W230" s="212"/>
      <c r="X230" s="212"/>
      <c r="Y230" s="212"/>
      <c r="Z230" s="212">
        <v>5003</v>
      </c>
      <c r="AA230" s="212"/>
    </row>
    <row r="231" spans="1:27" s="62" customFormat="1">
      <c r="A231" s="61" t="s">
        <v>221</v>
      </c>
      <c r="B231" s="60">
        <v>60</v>
      </c>
      <c r="C231" s="60">
        <f t="shared" ref="C231:C275" si="17">B231*160</f>
        <v>9600</v>
      </c>
      <c r="D231" s="289" t="s">
        <v>25</v>
      </c>
      <c r="E231" s="60">
        <v>0.95</v>
      </c>
      <c r="F231" s="63" t="s">
        <v>571</v>
      </c>
      <c r="G231" s="60">
        <v>67</v>
      </c>
      <c r="H231" s="59" t="s">
        <v>23</v>
      </c>
      <c r="I231" s="63" t="s">
        <v>20</v>
      </c>
      <c r="J231" s="87" t="s">
        <v>525</v>
      </c>
      <c r="K231" s="295"/>
      <c r="L231" s="87" t="s">
        <v>279</v>
      </c>
      <c r="M231" s="87" t="s">
        <v>513</v>
      </c>
      <c r="N231" s="318" t="s">
        <v>22</v>
      </c>
      <c r="O231" s="295" t="s">
        <v>18</v>
      </c>
      <c r="P231" s="295" t="s">
        <v>99</v>
      </c>
      <c r="R231" s="212"/>
      <c r="S231" s="212"/>
      <c r="T231" s="212">
        <v>3730</v>
      </c>
      <c r="U231" s="212">
        <v>4850</v>
      </c>
      <c r="V231" s="212">
        <v>5335</v>
      </c>
      <c r="W231" s="212"/>
      <c r="X231" s="212"/>
      <c r="Y231" s="212"/>
      <c r="Z231" s="212">
        <v>5004</v>
      </c>
      <c r="AA231" s="212"/>
    </row>
    <row r="232" spans="1:27" s="62" customFormat="1">
      <c r="A232" s="61" t="s">
        <v>222</v>
      </c>
      <c r="B232" s="60">
        <v>40</v>
      </c>
      <c r="C232" s="60">
        <f>B232*175</f>
        <v>7000</v>
      </c>
      <c r="D232" s="289" t="s">
        <v>25</v>
      </c>
      <c r="E232" s="60">
        <v>0.95</v>
      </c>
      <c r="F232" s="63" t="s">
        <v>572</v>
      </c>
      <c r="G232" s="60">
        <v>67</v>
      </c>
      <c r="H232" s="59" t="s">
        <v>23</v>
      </c>
      <c r="I232" s="63" t="s">
        <v>20</v>
      </c>
      <c r="J232" s="87" t="s">
        <v>86</v>
      </c>
      <c r="K232" s="295"/>
      <c r="L232" s="87" t="s">
        <v>279</v>
      </c>
      <c r="M232" s="87" t="s">
        <v>513</v>
      </c>
      <c r="N232" s="318" t="s">
        <v>22</v>
      </c>
      <c r="O232" s="295" t="s">
        <v>18</v>
      </c>
      <c r="P232" s="295" t="s">
        <v>99</v>
      </c>
      <c r="R232" s="212"/>
      <c r="S232" s="212"/>
      <c r="T232" s="212">
        <v>3730</v>
      </c>
      <c r="U232" s="212">
        <v>4850</v>
      </c>
      <c r="V232" s="212">
        <v>5335</v>
      </c>
      <c r="W232" s="212"/>
      <c r="X232" s="212"/>
      <c r="Y232" s="212"/>
      <c r="Z232" s="212">
        <v>5005</v>
      </c>
      <c r="AA232" s="212"/>
    </row>
    <row r="233" spans="1:27" s="62" customFormat="1">
      <c r="A233" s="59" t="s">
        <v>223</v>
      </c>
      <c r="B233" s="60">
        <v>60</v>
      </c>
      <c r="C233" s="60">
        <f t="shared" si="17"/>
        <v>9600</v>
      </c>
      <c r="D233" s="289" t="s">
        <v>25</v>
      </c>
      <c r="E233" s="60">
        <v>0.95</v>
      </c>
      <c r="F233" s="63" t="s">
        <v>572</v>
      </c>
      <c r="G233" s="60">
        <v>67</v>
      </c>
      <c r="H233" s="59" t="s">
        <v>23</v>
      </c>
      <c r="I233" s="63" t="s">
        <v>20</v>
      </c>
      <c r="J233" s="87" t="s">
        <v>525</v>
      </c>
      <c r="K233" s="295"/>
      <c r="L233" s="87" t="s">
        <v>279</v>
      </c>
      <c r="M233" s="87" t="s">
        <v>513</v>
      </c>
      <c r="N233" s="318" t="s">
        <v>22</v>
      </c>
      <c r="O233" s="295" t="s">
        <v>18</v>
      </c>
      <c r="P233" s="295" t="s">
        <v>99</v>
      </c>
      <c r="R233" s="212"/>
      <c r="S233" s="212"/>
      <c r="T233" s="212">
        <v>3730</v>
      </c>
      <c r="U233" s="212">
        <v>4850</v>
      </c>
      <c r="V233" s="212">
        <v>5335</v>
      </c>
      <c r="W233" s="212"/>
      <c r="X233" s="212"/>
      <c r="Y233" s="212"/>
      <c r="Z233" s="212">
        <v>5006</v>
      </c>
      <c r="AA233" s="212"/>
    </row>
    <row r="234" spans="1:27" s="62" customFormat="1">
      <c r="A234" s="61" t="s">
        <v>224</v>
      </c>
      <c r="B234" s="60">
        <v>40</v>
      </c>
      <c r="C234" s="60">
        <f>B234*175</f>
        <v>7000</v>
      </c>
      <c r="D234" s="289" t="s">
        <v>25</v>
      </c>
      <c r="E234" s="60">
        <v>0.95</v>
      </c>
      <c r="F234" s="63" t="s">
        <v>573</v>
      </c>
      <c r="G234" s="60">
        <v>67</v>
      </c>
      <c r="H234" s="59" t="s">
        <v>23</v>
      </c>
      <c r="I234" s="63" t="s">
        <v>20</v>
      </c>
      <c r="J234" s="87" t="s">
        <v>87</v>
      </c>
      <c r="K234" s="295"/>
      <c r="L234" s="87" t="s">
        <v>279</v>
      </c>
      <c r="M234" s="87" t="s">
        <v>513</v>
      </c>
      <c r="N234" s="318" t="s">
        <v>22</v>
      </c>
      <c r="O234" s="295" t="s">
        <v>18</v>
      </c>
      <c r="P234" s="295" t="s">
        <v>99</v>
      </c>
      <c r="Q234" s="64"/>
      <c r="R234" s="212"/>
      <c r="S234" s="212"/>
      <c r="T234" s="212">
        <v>3730</v>
      </c>
      <c r="U234" s="212">
        <v>4850</v>
      </c>
      <c r="V234" s="212">
        <v>5335</v>
      </c>
      <c r="W234" s="212"/>
      <c r="X234" s="212"/>
      <c r="Y234" s="212"/>
      <c r="Z234" s="212">
        <v>5007</v>
      </c>
      <c r="AA234" s="212"/>
    </row>
    <row r="235" spans="1:27" s="62" customFormat="1">
      <c r="A235" s="61" t="s">
        <v>225</v>
      </c>
      <c r="B235" s="60">
        <v>60</v>
      </c>
      <c r="C235" s="60">
        <f t="shared" si="17"/>
        <v>9600</v>
      </c>
      <c r="D235" s="289" t="s">
        <v>25</v>
      </c>
      <c r="E235" s="60">
        <v>0.95</v>
      </c>
      <c r="F235" s="63" t="s">
        <v>573</v>
      </c>
      <c r="G235" s="60">
        <v>67</v>
      </c>
      <c r="H235" s="59" t="s">
        <v>23</v>
      </c>
      <c r="I235" s="63" t="s">
        <v>20</v>
      </c>
      <c r="J235" s="87" t="s">
        <v>526</v>
      </c>
      <c r="K235" s="295"/>
      <c r="L235" s="87" t="s">
        <v>279</v>
      </c>
      <c r="M235" s="87" t="s">
        <v>513</v>
      </c>
      <c r="N235" s="318" t="s">
        <v>22</v>
      </c>
      <c r="O235" s="295" t="s">
        <v>18</v>
      </c>
      <c r="P235" s="295" t="s">
        <v>99</v>
      </c>
      <c r="Q235" s="64"/>
      <c r="R235" s="212"/>
      <c r="S235" s="212"/>
      <c r="T235" s="212">
        <v>3730</v>
      </c>
      <c r="U235" s="212">
        <v>4850</v>
      </c>
      <c r="V235" s="212">
        <v>5335</v>
      </c>
      <c r="W235" s="212"/>
      <c r="X235" s="212"/>
      <c r="Y235" s="212"/>
      <c r="Z235" s="212">
        <v>5008</v>
      </c>
      <c r="AA235" s="212"/>
    </row>
    <row r="236" spans="1:27" s="62" customFormat="1">
      <c r="A236" s="61" t="s">
        <v>226</v>
      </c>
      <c r="B236" s="60">
        <v>80</v>
      </c>
      <c r="C236" s="60">
        <f>B236*175</f>
        <v>14000</v>
      </c>
      <c r="D236" s="289" t="s">
        <v>25</v>
      </c>
      <c r="E236" s="60">
        <v>0.95</v>
      </c>
      <c r="F236" s="63" t="s">
        <v>567</v>
      </c>
      <c r="G236" s="60">
        <v>67</v>
      </c>
      <c r="H236" s="59" t="s">
        <v>23</v>
      </c>
      <c r="I236" s="63" t="s">
        <v>20</v>
      </c>
      <c r="J236" s="87" t="s">
        <v>90</v>
      </c>
      <c r="K236" s="295"/>
      <c r="L236" s="87" t="s">
        <v>279</v>
      </c>
      <c r="M236" s="87" t="s">
        <v>513</v>
      </c>
      <c r="N236" s="318" t="s">
        <v>22</v>
      </c>
      <c r="O236" s="295" t="s">
        <v>18</v>
      </c>
      <c r="P236" s="295" t="s">
        <v>99</v>
      </c>
      <c r="R236" s="212"/>
      <c r="S236" s="212"/>
      <c r="T236" s="212">
        <v>7465</v>
      </c>
      <c r="U236" s="212">
        <v>9705</v>
      </c>
      <c r="V236" s="212">
        <v>10675</v>
      </c>
      <c r="W236" s="212"/>
      <c r="X236" s="212"/>
      <c r="Y236" s="212"/>
      <c r="Z236" s="212">
        <v>5009</v>
      </c>
      <c r="AA236" s="212"/>
    </row>
    <row r="237" spans="1:27" s="62" customFormat="1">
      <c r="A237" s="61" t="s">
        <v>227</v>
      </c>
      <c r="B237" s="60">
        <v>120</v>
      </c>
      <c r="C237" s="60">
        <f t="shared" si="17"/>
        <v>19200</v>
      </c>
      <c r="D237" s="289" t="s">
        <v>25</v>
      </c>
      <c r="E237" s="60">
        <v>0.95</v>
      </c>
      <c r="F237" s="63" t="s">
        <v>567</v>
      </c>
      <c r="G237" s="60">
        <v>67</v>
      </c>
      <c r="H237" s="59" t="s">
        <v>23</v>
      </c>
      <c r="I237" s="63" t="s">
        <v>20</v>
      </c>
      <c r="J237" s="87" t="s">
        <v>527</v>
      </c>
      <c r="K237" s="295"/>
      <c r="L237" s="87" t="s">
        <v>279</v>
      </c>
      <c r="M237" s="87" t="s">
        <v>513</v>
      </c>
      <c r="N237" s="318" t="s">
        <v>22</v>
      </c>
      <c r="O237" s="295" t="s">
        <v>18</v>
      </c>
      <c r="P237" s="295" t="s">
        <v>99</v>
      </c>
      <c r="R237" s="212"/>
      <c r="S237" s="212"/>
      <c r="T237" s="212">
        <v>7465</v>
      </c>
      <c r="U237" s="212">
        <v>9705</v>
      </c>
      <c r="V237" s="212">
        <v>10675</v>
      </c>
      <c r="W237" s="212"/>
      <c r="X237" s="212"/>
      <c r="Y237" s="212"/>
      <c r="Z237" s="212">
        <v>5010</v>
      </c>
      <c r="AA237" s="212"/>
    </row>
    <row r="238" spans="1:27" s="62" customFormat="1">
      <c r="A238" s="61" t="s">
        <v>228</v>
      </c>
      <c r="B238" s="60">
        <v>80</v>
      </c>
      <c r="C238" s="60">
        <f>B238*175</f>
        <v>14000</v>
      </c>
      <c r="D238" s="289" t="s">
        <v>25</v>
      </c>
      <c r="E238" s="60">
        <v>0.95</v>
      </c>
      <c r="F238" s="63" t="s">
        <v>571</v>
      </c>
      <c r="G238" s="60">
        <v>67</v>
      </c>
      <c r="H238" s="59" t="s">
        <v>23</v>
      </c>
      <c r="I238" s="63" t="s">
        <v>20</v>
      </c>
      <c r="J238" s="87" t="s">
        <v>90</v>
      </c>
      <c r="K238" s="295"/>
      <c r="L238" s="87" t="s">
        <v>279</v>
      </c>
      <c r="M238" s="87" t="s">
        <v>513</v>
      </c>
      <c r="N238" s="318" t="s">
        <v>22</v>
      </c>
      <c r="O238" s="295" t="s">
        <v>18</v>
      </c>
      <c r="P238" s="295" t="s">
        <v>99</v>
      </c>
      <c r="R238" s="212"/>
      <c r="S238" s="212"/>
      <c r="T238" s="212">
        <v>7465</v>
      </c>
      <c r="U238" s="212">
        <v>9705</v>
      </c>
      <c r="V238" s="212">
        <v>10675</v>
      </c>
      <c r="W238" s="212"/>
      <c r="X238" s="212"/>
      <c r="Y238" s="212"/>
      <c r="Z238" s="212">
        <v>5011</v>
      </c>
      <c r="AA238" s="212"/>
    </row>
    <row r="239" spans="1:27" s="62" customFormat="1">
      <c r="A239" s="61" t="s">
        <v>229</v>
      </c>
      <c r="B239" s="60">
        <v>120</v>
      </c>
      <c r="C239" s="60">
        <f t="shared" si="17"/>
        <v>19200</v>
      </c>
      <c r="D239" s="289" t="s">
        <v>25</v>
      </c>
      <c r="E239" s="60">
        <v>0.95</v>
      </c>
      <c r="F239" s="63" t="s">
        <v>571</v>
      </c>
      <c r="G239" s="60">
        <v>67</v>
      </c>
      <c r="H239" s="59" t="s">
        <v>23</v>
      </c>
      <c r="I239" s="63" t="s">
        <v>20</v>
      </c>
      <c r="J239" s="87" t="s">
        <v>527</v>
      </c>
      <c r="K239" s="295"/>
      <c r="L239" s="87" t="s">
        <v>279</v>
      </c>
      <c r="M239" s="87" t="s">
        <v>513</v>
      </c>
      <c r="N239" s="318" t="s">
        <v>22</v>
      </c>
      <c r="O239" s="295" t="s">
        <v>18</v>
      </c>
      <c r="P239" s="295" t="s">
        <v>99</v>
      </c>
      <c r="R239" s="212"/>
      <c r="S239" s="212"/>
      <c r="T239" s="212">
        <v>7465</v>
      </c>
      <c r="U239" s="212">
        <v>9705</v>
      </c>
      <c r="V239" s="212">
        <v>10675</v>
      </c>
      <c r="W239" s="212"/>
      <c r="X239" s="212"/>
      <c r="Y239" s="212"/>
      <c r="Z239" s="212">
        <v>5012</v>
      </c>
      <c r="AA239" s="212"/>
    </row>
    <row r="240" spans="1:27" s="62" customFormat="1">
      <c r="A240" s="61" t="s">
        <v>230</v>
      </c>
      <c r="B240" s="60">
        <v>80</v>
      </c>
      <c r="C240" s="60">
        <f>B240*175</f>
        <v>14000</v>
      </c>
      <c r="D240" s="289" t="s">
        <v>25</v>
      </c>
      <c r="E240" s="60">
        <v>0.95</v>
      </c>
      <c r="F240" s="63" t="s">
        <v>572</v>
      </c>
      <c r="G240" s="60">
        <v>67</v>
      </c>
      <c r="H240" s="59" t="s">
        <v>23</v>
      </c>
      <c r="I240" s="63" t="s">
        <v>20</v>
      </c>
      <c r="J240" s="87" t="s">
        <v>90</v>
      </c>
      <c r="K240" s="295"/>
      <c r="L240" s="87" t="s">
        <v>279</v>
      </c>
      <c r="M240" s="87" t="s">
        <v>513</v>
      </c>
      <c r="N240" s="318" t="s">
        <v>22</v>
      </c>
      <c r="O240" s="295" t="s">
        <v>18</v>
      </c>
      <c r="P240" s="295" t="s">
        <v>99</v>
      </c>
      <c r="R240" s="212"/>
      <c r="S240" s="212"/>
      <c r="T240" s="212">
        <v>7465</v>
      </c>
      <c r="U240" s="212">
        <v>9705</v>
      </c>
      <c r="V240" s="212">
        <v>10675</v>
      </c>
      <c r="W240" s="212"/>
      <c r="X240" s="212"/>
      <c r="Y240" s="212"/>
      <c r="Z240" s="212">
        <v>5013</v>
      </c>
      <c r="AA240" s="212"/>
    </row>
    <row r="241" spans="1:27" s="62" customFormat="1">
      <c r="A241" s="61" t="s">
        <v>231</v>
      </c>
      <c r="B241" s="60">
        <v>120</v>
      </c>
      <c r="C241" s="60">
        <f t="shared" si="17"/>
        <v>19200</v>
      </c>
      <c r="D241" s="289" t="s">
        <v>25</v>
      </c>
      <c r="E241" s="60">
        <v>0.95</v>
      </c>
      <c r="F241" s="63" t="s">
        <v>572</v>
      </c>
      <c r="G241" s="60">
        <v>67</v>
      </c>
      <c r="H241" s="59" t="s">
        <v>23</v>
      </c>
      <c r="I241" s="63" t="s">
        <v>20</v>
      </c>
      <c r="J241" s="87" t="s">
        <v>527</v>
      </c>
      <c r="K241" s="295"/>
      <c r="L241" s="87" t="s">
        <v>279</v>
      </c>
      <c r="M241" s="87" t="s">
        <v>513</v>
      </c>
      <c r="N241" s="318" t="s">
        <v>22</v>
      </c>
      <c r="O241" s="295" t="s">
        <v>18</v>
      </c>
      <c r="P241" s="295" t="s">
        <v>99</v>
      </c>
      <c r="R241" s="212"/>
      <c r="S241" s="212"/>
      <c r="T241" s="212">
        <v>7465</v>
      </c>
      <c r="U241" s="212">
        <v>9705</v>
      </c>
      <c r="V241" s="212">
        <v>10675</v>
      </c>
      <c r="W241" s="212"/>
      <c r="X241" s="212"/>
      <c r="Y241" s="212"/>
      <c r="Z241" s="212">
        <v>5014</v>
      </c>
      <c r="AA241" s="212"/>
    </row>
    <row r="242" spans="1:27" s="62" customFormat="1">
      <c r="A242" s="61" t="s">
        <v>232</v>
      </c>
      <c r="B242" s="60">
        <v>80</v>
      </c>
      <c r="C242" s="60">
        <f>B242*175</f>
        <v>14000</v>
      </c>
      <c r="D242" s="289" t="s">
        <v>25</v>
      </c>
      <c r="E242" s="60">
        <v>0.95</v>
      </c>
      <c r="F242" s="63" t="s">
        <v>573</v>
      </c>
      <c r="G242" s="60">
        <v>67</v>
      </c>
      <c r="H242" s="59" t="s">
        <v>23</v>
      </c>
      <c r="I242" s="63" t="s">
        <v>20</v>
      </c>
      <c r="J242" s="87" t="s">
        <v>91</v>
      </c>
      <c r="K242" s="295"/>
      <c r="L242" s="87" t="s">
        <v>279</v>
      </c>
      <c r="M242" s="87" t="s">
        <v>513</v>
      </c>
      <c r="N242" s="318" t="s">
        <v>22</v>
      </c>
      <c r="O242" s="295" t="s">
        <v>18</v>
      </c>
      <c r="P242" s="295" t="s">
        <v>99</v>
      </c>
      <c r="R242" s="212"/>
      <c r="S242" s="212"/>
      <c r="T242" s="212">
        <v>7465</v>
      </c>
      <c r="U242" s="212">
        <v>9705</v>
      </c>
      <c r="V242" s="212">
        <v>10675</v>
      </c>
      <c r="W242" s="212"/>
      <c r="X242" s="212"/>
      <c r="Y242" s="212"/>
      <c r="Z242" s="212">
        <v>5015</v>
      </c>
      <c r="AA242" s="212"/>
    </row>
    <row r="243" spans="1:27" s="62" customFormat="1">
      <c r="A243" s="61" t="s">
        <v>233</v>
      </c>
      <c r="B243" s="60">
        <v>120</v>
      </c>
      <c r="C243" s="60">
        <f t="shared" si="17"/>
        <v>19200</v>
      </c>
      <c r="D243" s="289" t="s">
        <v>25</v>
      </c>
      <c r="E243" s="60">
        <v>0.95</v>
      </c>
      <c r="F243" s="63" t="s">
        <v>573</v>
      </c>
      <c r="G243" s="60">
        <v>67</v>
      </c>
      <c r="H243" s="59" t="s">
        <v>23</v>
      </c>
      <c r="I243" s="63" t="s">
        <v>20</v>
      </c>
      <c r="J243" s="87" t="s">
        <v>529</v>
      </c>
      <c r="K243" s="295"/>
      <c r="L243" s="87" t="s">
        <v>279</v>
      </c>
      <c r="M243" s="87" t="s">
        <v>513</v>
      </c>
      <c r="N243" s="318" t="s">
        <v>22</v>
      </c>
      <c r="O243" s="295" t="s">
        <v>18</v>
      </c>
      <c r="P243" s="295" t="s">
        <v>99</v>
      </c>
      <c r="R243" s="212"/>
      <c r="S243" s="212"/>
      <c r="T243" s="212">
        <v>7465</v>
      </c>
      <c r="U243" s="212">
        <v>9705</v>
      </c>
      <c r="V243" s="212">
        <v>10675</v>
      </c>
      <c r="W243" s="212"/>
      <c r="X243" s="212"/>
      <c r="Y243" s="212"/>
      <c r="Z243" s="212">
        <v>5016</v>
      </c>
      <c r="AA243" s="212"/>
    </row>
    <row r="244" spans="1:27" s="62" customFormat="1">
      <c r="A244" s="61" t="s">
        <v>234</v>
      </c>
      <c r="B244" s="60">
        <v>120</v>
      </c>
      <c r="C244" s="60">
        <f>B244*175</f>
        <v>21000</v>
      </c>
      <c r="D244" s="289" t="s">
        <v>25</v>
      </c>
      <c r="E244" s="60">
        <v>0.95</v>
      </c>
      <c r="F244" s="63" t="s">
        <v>567</v>
      </c>
      <c r="G244" s="60">
        <v>67</v>
      </c>
      <c r="H244" s="59" t="s">
        <v>23</v>
      </c>
      <c r="I244" s="63" t="s">
        <v>20</v>
      </c>
      <c r="J244" s="87" t="s">
        <v>94</v>
      </c>
      <c r="K244" s="295"/>
      <c r="L244" s="87" t="s">
        <v>279</v>
      </c>
      <c r="M244" s="87" t="s">
        <v>513</v>
      </c>
      <c r="N244" s="318" t="s">
        <v>22</v>
      </c>
      <c r="O244" s="295" t="s">
        <v>18</v>
      </c>
      <c r="P244" s="295" t="s">
        <v>99</v>
      </c>
      <c r="R244" s="212"/>
      <c r="S244" s="212"/>
      <c r="T244" s="212">
        <v>11195</v>
      </c>
      <c r="U244" s="212">
        <v>14555</v>
      </c>
      <c r="V244" s="212">
        <v>16010</v>
      </c>
      <c r="W244" s="212"/>
      <c r="X244" s="212"/>
      <c r="Y244" s="212"/>
      <c r="Z244" s="212">
        <v>5017</v>
      </c>
      <c r="AA244" s="212"/>
    </row>
    <row r="245" spans="1:27" s="62" customFormat="1">
      <c r="A245" s="61" t="s">
        <v>235</v>
      </c>
      <c r="B245" s="60">
        <v>180</v>
      </c>
      <c r="C245" s="60">
        <f t="shared" si="17"/>
        <v>28800</v>
      </c>
      <c r="D245" s="289" t="s">
        <v>25</v>
      </c>
      <c r="E245" s="60">
        <v>0.95</v>
      </c>
      <c r="F245" s="63" t="s">
        <v>567</v>
      </c>
      <c r="G245" s="60">
        <v>67</v>
      </c>
      <c r="H245" s="59" t="s">
        <v>23</v>
      </c>
      <c r="I245" s="63" t="s">
        <v>20</v>
      </c>
      <c r="J245" s="87" t="s">
        <v>530</v>
      </c>
      <c r="K245" s="295"/>
      <c r="L245" s="87" t="s">
        <v>279</v>
      </c>
      <c r="M245" s="87" t="s">
        <v>513</v>
      </c>
      <c r="N245" s="318" t="s">
        <v>22</v>
      </c>
      <c r="O245" s="295" t="s">
        <v>18</v>
      </c>
      <c r="P245" s="295" t="s">
        <v>99</v>
      </c>
      <c r="R245" s="212"/>
      <c r="S245" s="212"/>
      <c r="T245" s="212">
        <v>11195</v>
      </c>
      <c r="U245" s="212">
        <v>14555</v>
      </c>
      <c r="V245" s="212">
        <v>16010</v>
      </c>
      <c r="W245" s="212"/>
      <c r="X245" s="212"/>
      <c r="Y245" s="212"/>
      <c r="Z245" s="212">
        <v>5018</v>
      </c>
      <c r="AA245" s="212"/>
    </row>
    <row r="246" spans="1:27" s="62" customFormat="1">
      <c r="A246" s="61" t="s">
        <v>236</v>
      </c>
      <c r="B246" s="60">
        <v>120</v>
      </c>
      <c r="C246" s="60">
        <f>B246*175</f>
        <v>21000</v>
      </c>
      <c r="D246" s="289" t="s">
        <v>25</v>
      </c>
      <c r="E246" s="60">
        <v>0.95</v>
      </c>
      <c r="F246" s="63" t="s">
        <v>571</v>
      </c>
      <c r="G246" s="60">
        <v>67</v>
      </c>
      <c r="H246" s="59" t="s">
        <v>23</v>
      </c>
      <c r="I246" s="63" t="s">
        <v>20</v>
      </c>
      <c r="J246" s="87" t="s">
        <v>94</v>
      </c>
      <c r="K246" s="295"/>
      <c r="L246" s="87" t="s">
        <v>279</v>
      </c>
      <c r="M246" s="87" t="s">
        <v>513</v>
      </c>
      <c r="N246" s="318" t="s">
        <v>22</v>
      </c>
      <c r="O246" s="295" t="s">
        <v>18</v>
      </c>
      <c r="P246" s="295" t="s">
        <v>99</v>
      </c>
      <c r="R246" s="212"/>
      <c r="S246" s="212"/>
      <c r="T246" s="212">
        <v>11195</v>
      </c>
      <c r="U246" s="212">
        <v>14555</v>
      </c>
      <c r="V246" s="212">
        <v>16010</v>
      </c>
      <c r="W246" s="212"/>
      <c r="X246" s="212"/>
      <c r="Y246" s="212"/>
      <c r="Z246" s="212">
        <v>5019</v>
      </c>
      <c r="AA246" s="212"/>
    </row>
    <row r="247" spans="1:27" s="62" customFormat="1">
      <c r="A247" s="61" t="s">
        <v>237</v>
      </c>
      <c r="B247" s="60">
        <v>180</v>
      </c>
      <c r="C247" s="60">
        <f t="shared" si="17"/>
        <v>28800</v>
      </c>
      <c r="D247" s="289" t="s">
        <v>25</v>
      </c>
      <c r="E247" s="60">
        <v>0.95</v>
      </c>
      <c r="F247" s="63" t="s">
        <v>571</v>
      </c>
      <c r="G247" s="60">
        <v>67</v>
      </c>
      <c r="H247" s="59" t="s">
        <v>23</v>
      </c>
      <c r="I247" s="63" t="s">
        <v>20</v>
      </c>
      <c r="J247" s="87" t="s">
        <v>530</v>
      </c>
      <c r="K247" s="295"/>
      <c r="L247" s="87" t="s">
        <v>279</v>
      </c>
      <c r="M247" s="87" t="s">
        <v>513</v>
      </c>
      <c r="N247" s="318" t="s">
        <v>22</v>
      </c>
      <c r="O247" s="295" t="s">
        <v>18</v>
      </c>
      <c r="P247" s="295" t="s">
        <v>99</v>
      </c>
      <c r="R247" s="212"/>
      <c r="S247" s="212"/>
      <c r="T247" s="212">
        <v>11195</v>
      </c>
      <c r="U247" s="212">
        <v>14555</v>
      </c>
      <c r="V247" s="212">
        <v>16010</v>
      </c>
      <c r="W247" s="212"/>
      <c r="X247" s="212"/>
      <c r="Y247" s="212"/>
      <c r="Z247" s="212">
        <v>5020</v>
      </c>
      <c r="AA247" s="212"/>
    </row>
    <row r="248" spans="1:27" s="62" customFormat="1">
      <c r="A248" s="61" t="s">
        <v>238</v>
      </c>
      <c r="B248" s="60">
        <v>120</v>
      </c>
      <c r="C248" s="60">
        <f>B248*175</f>
        <v>21000</v>
      </c>
      <c r="D248" s="289" t="s">
        <v>25</v>
      </c>
      <c r="E248" s="60">
        <v>0.95</v>
      </c>
      <c r="F248" s="63" t="s">
        <v>572</v>
      </c>
      <c r="G248" s="60">
        <v>67</v>
      </c>
      <c r="H248" s="59" t="s">
        <v>23</v>
      </c>
      <c r="I248" s="63" t="s">
        <v>20</v>
      </c>
      <c r="J248" s="87" t="s">
        <v>94</v>
      </c>
      <c r="K248" s="295"/>
      <c r="L248" s="87" t="s">
        <v>279</v>
      </c>
      <c r="M248" s="87" t="s">
        <v>513</v>
      </c>
      <c r="N248" s="318" t="s">
        <v>22</v>
      </c>
      <c r="O248" s="295" t="s">
        <v>18</v>
      </c>
      <c r="P248" s="295" t="s">
        <v>99</v>
      </c>
      <c r="R248" s="212"/>
      <c r="S248" s="212"/>
      <c r="T248" s="212">
        <v>11195</v>
      </c>
      <c r="U248" s="212">
        <v>14555</v>
      </c>
      <c r="V248" s="212">
        <v>16010</v>
      </c>
      <c r="W248" s="212"/>
      <c r="X248" s="212"/>
      <c r="Y248" s="212"/>
      <c r="Z248" s="212">
        <v>5021</v>
      </c>
      <c r="AA248" s="212"/>
    </row>
    <row r="249" spans="1:27" s="62" customFormat="1">
      <c r="A249" s="61" t="s">
        <v>239</v>
      </c>
      <c r="B249" s="60">
        <v>180</v>
      </c>
      <c r="C249" s="60">
        <f t="shared" si="17"/>
        <v>28800</v>
      </c>
      <c r="D249" s="289" t="s">
        <v>25</v>
      </c>
      <c r="E249" s="60">
        <v>0.95</v>
      </c>
      <c r="F249" s="63" t="s">
        <v>572</v>
      </c>
      <c r="G249" s="60">
        <v>67</v>
      </c>
      <c r="H249" s="59" t="s">
        <v>23</v>
      </c>
      <c r="I249" s="63" t="s">
        <v>20</v>
      </c>
      <c r="J249" s="87" t="s">
        <v>530</v>
      </c>
      <c r="K249" s="295"/>
      <c r="L249" s="87" t="s">
        <v>279</v>
      </c>
      <c r="M249" s="87" t="s">
        <v>513</v>
      </c>
      <c r="N249" s="318" t="s">
        <v>22</v>
      </c>
      <c r="O249" s="295" t="s">
        <v>18</v>
      </c>
      <c r="P249" s="295" t="s">
        <v>99</v>
      </c>
      <c r="R249" s="212"/>
      <c r="S249" s="212"/>
      <c r="T249" s="212">
        <v>11195</v>
      </c>
      <c r="U249" s="212">
        <v>14555</v>
      </c>
      <c r="V249" s="212">
        <v>16010</v>
      </c>
      <c r="W249" s="212"/>
      <c r="X249" s="212"/>
      <c r="Y249" s="212"/>
      <c r="Z249" s="212">
        <v>5022</v>
      </c>
      <c r="AA249" s="212"/>
    </row>
    <row r="250" spans="1:27" s="62" customFormat="1">
      <c r="A250" s="59" t="s">
        <v>240</v>
      </c>
      <c r="B250" s="60">
        <v>120</v>
      </c>
      <c r="C250" s="60">
        <f>B250*175</f>
        <v>21000</v>
      </c>
      <c r="D250" s="289" t="s">
        <v>25</v>
      </c>
      <c r="E250" s="60">
        <v>0.95</v>
      </c>
      <c r="F250" s="63" t="s">
        <v>573</v>
      </c>
      <c r="G250" s="60">
        <v>67</v>
      </c>
      <c r="H250" s="59" t="s">
        <v>23</v>
      </c>
      <c r="I250" s="63" t="s">
        <v>20</v>
      </c>
      <c r="J250" s="87" t="s">
        <v>95</v>
      </c>
      <c r="K250" s="295"/>
      <c r="L250" s="87" t="s">
        <v>279</v>
      </c>
      <c r="M250" s="87" t="s">
        <v>513</v>
      </c>
      <c r="N250" s="318" t="s">
        <v>22</v>
      </c>
      <c r="O250" s="295" t="s">
        <v>18</v>
      </c>
      <c r="P250" s="295" t="s">
        <v>99</v>
      </c>
      <c r="R250" s="212"/>
      <c r="S250" s="212"/>
      <c r="T250" s="212">
        <v>11195</v>
      </c>
      <c r="U250" s="212">
        <v>14555</v>
      </c>
      <c r="V250" s="212">
        <v>16010</v>
      </c>
      <c r="W250" s="212"/>
      <c r="X250" s="212"/>
      <c r="Y250" s="212"/>
      <c r="Z250" s="212">
        <v>5023</v>
      </c>
      <c r="AA250" s="212"/>
    </row>
    <row r="251" spans="1:27" s="62" customFormat="1">
      <c r="A251" s="59" t="s">
        <v>241</v>
      </c>
      <c r="B251" s="60">
        <v>180</v>
      </c>
      <c r="C251" s="60">
        <f t="shared" si="17"/>
        <v>28800</v>
      </c>
      <c r="D251" s="289" t="s">
        <v>25</v>
      </c>
      <c r="E251" s="60">
        <v>0.95</v>
      </c>
      <c r="F251" s="63" t="s">
        <v>573</v>
      </c>
      <c r="G251" s="60">
        <v>67</v>
      </c>
      <c r="H251" s="59" t="s">
        <v>23</v>
      </c>
      <c r="I251" s="63" t="s">
        <v>20</v>
      </c>
      <c r="J251" s="87" t="s">
        <v>531</v>
      </c>
      <c r="K251" s="295"/>
      <c r="L251" s="87" t="s">
        <v>279</v>
      </c>
      <c r="M251" s="87" t="s">
        <v>513</v>
      </c>
      <c r="N251" s="318" t="s">
        <v>22</v>
      </c>
      <c r="O251" s="295" t="s">
        <v>18</v>
      </c>
      <c r="P251" s="295" t="s">
        <v>99</v>
      </c>
      <c r="R251" s="212"/>
      <c r="S251" s="212"/>
      <c r="T251" s="212">
        <v>11195</v>
      </c>
      <c r="U251" s="212">
        <v>14555</v>
      </c>
      <c r="V251" s="212">
        <v>16010</v>
      </c>
      <c r="W251" s="212"/>
      <c r="X251" s="212"/>
      <c r="Y251" s="212"/>
      <c r="Z251" s="212">
        <v>5024</v>
      </c>
      <c r="AA251" s="212"/>
    </row>
    <row r="252" spans="1:27" s="62" customFormat="1">
      <c r="A252" s="61" t="s">
        <v>242</v>
      </c>
      <c r="B252" s="60">
        <v>60</v>
      </c>
      <c r="C252" s="60">
        <f t="shared" si="17"/>
        <v>9600</v>
      </c>
      <c r="D252" s="289" t="s">
        <v>25</v>
      </c>
      <c r="E252" s="60">
        <v>0.95</v>
      </c>
      <c r="F252" s="63" t="s">
        <v>567</v>
      </c>
      <c r="G252" s="60">
        <v>67</v>
      </c>
      <c r="H252" s="59" t="s">
        <v>23</v>
      </c>
      <c r="I252" s="63" t="s">
        <v>20</v>
      </c>
      <c r="J252" s="87" t="s">
        <v>532</v>
      </c>
      <c r="K252" s="295"/>
      <c r="L252" s="87" t="s">
        <v>279</v>
      </c>
      <c r="M252" s="87" t="s">
        <v>513</v>
      </c>
      <c r="N252" s="318" t="s">
        <v>22</v>
      </c>
      <c r="O252" s="295" t="s">
        <v>18</v>
      </c>
      <c r="P252" s="295" t="s">
        <v>99</v>
      </c>
      <c r="R252" s="212"/>
      <c r="S252" s="216"/>
      <c r="T252" s="216">
        <v>3730</v>
      </c>
      <c r="U252" s="216">
        <v>4850</v>
      </c>
      <c r="V252" s="216">
        <v>5335</v>
      </c>
      <c r="W252" s="216"/>
      <c r="X252" s="216"/>
      <c r="Y252" s="216"/>
      <c r="Z252" s="216">
        <v>5025</v>
      </c>
    </row>
    <row r="253" spans="1:27" s="62" customFormat="1">
      <c r="A253" s="61" t="s">
        <v>243</v>
      </c>
      <c r="B253" s="60">
        <v>40</v>
      </c>
      <c r="C253" s="60">
        <f>B253*175</f>
        <v>7000</v>
      </c>
      <c r="D253" s="289" t="s">
        <v>25</v>
      </c>
      <c r="E253" s="60">
        <v>0.95</v>
      </c>
      <c r="F253" s="63" t="s">
        <v>567</v>
      </c>
      <c r="G253" s="60">
        <v>67</v>
      </c>
      <c r="H253" s="59" t="s">
        <v>23</v>
      </c>
      <c r="I253" s="63" t="s">
        <v>20</v>
      </c>
      <c r="J253" s="87" t="s">
        <v>88</v>
      </c>
      <c r="K253" s="295"/>
      <c r="L253" s="87" t="s">
        <v>279</v>
      </c>
      <c r="M253" s="87" t="s">
        <v>513</v>
      </c>
      <c r="N253" s="318" t="s">
        <v>22</v>
      </c>
      <c r="O253" s="295" t="s">
        <v>18</v>
      </c>
      <c r="P253" s="295" t="s">
        <v>99</v>
      </c>
      <c r="R253" s="212"/>
      <c r="S253" s="216"/>
      <c r="T253" s="216">
        <v>3730</v>
      </c>
      <c r="U253" s="216">
        <v>4850</v>
      </c>
      <c r="V253" s="216">
        <v>5335</v>
      </c>
      <c r="W253" s="216"/>
      <c r="X253" s="216"/>
      <c r="Y253" s="216"/>
      <c r="Z253" s="216">
        <v>5026</v>
      </c>
    </row>
    <row r="254" spans="1:27" s="62" customFormat="1">
      <c r="A254" s="61" t="s">
        <v>244</v>
      </c>
      <c r="B254" s="60">
        <v>40</v>
      </c>
      <c r="C254" s="60">
        <f>B254*175</f>
        <v>7000</v>
      </c>
      <c r="D254" s="289" t="s">
        <v>25</v>
      </c>
      <c r="E254" s="60">
        <v>0.95</v>
      </c>
      <c r="F254" s="63" t="s">
        <v>571</v>
      </c>
      <c r="G254" s="60">
        <v>67</v>
      </c>
      <c r="H254" s="59" t="s">
        <v>23</v>
      </c>
      <c r="I254" s="63" t="s">
        <v>20</v>
      </c>
      <c r="J254" s="87" t="s">
        <v>88</v>
      </c>
      <c r="K254" s="295"/>
      <c r="L254" s="87" t="s">
        <v>279</v>
      </c>
      <c r="M254" s="87" t="s">
        <v>513</v>
      </c>
      <c r="N254" s="318" t="s">
        <v>22</v>
      </c>
      <c r="O254" s="295" t="s">
        <v>18</v>
      </c>
      <c r="P254" s="295" t="s">
        <v>99</v>
      </c>
      <c r="R254" s="212"/>
      <c r="S254" s="216"/>
      <c r="T254" s="216">
        <v>3730</v>
      </c>
      <c r="U254" s="216">
        <v>4850</v>
      </c>
      <c r="V254" s="216">
        <v>5335</v>
      </c>
      <c r="W254" s="216"/>
      <c r="X254" s="216"/>
      <c r="Y254" s="216"/>
      <c r="Z254" s="216">
        <v>5027</v>
      </c>
    </row>
    <row r="255" spans="1:27" s="62" customFormat="1">
      <c r="A255" s="61" t="s">
        <v>245</v>
      </c>
      <c r="B255" s="60">
        <v>60</v>
      </c>
      <c r="C255" s="60">
        <f t="shared" si="17"/>
        <v>9600</v>
      </c>
      <c r="D255" s="289" t="s">
        <v>25</v>
      </c>
      <c r="E255" s="60">
        <v>0.95</v>
      </c>
      <c r="F255" s="63" t="s">
        <v>571</v>
      </c>
      <c r="G255" s="60">
        <v>67</v>
      </c>
      <c r="H255" s="59" t="s">
        <v>23</v>
      </c>
      <c r="I255" s="63" t="s">
        <v>20</v>
      </c>
      <c r="J255" s="87" t="s">
        <v>532</v>
      </c>
      <c r="K255" s="295"/>
      <c r="L255" s="87" t="s">
        <v>279</v>
      </c>
      <c r="M255" s="87" t="s">
        <v>513</v>
      </c>
      <c r="N255" s="318" t="s">
        <v>22</v>
      </c>
      <c r="O255" s="295" t="s">
        <v>18</v>
      </c>
      <c r="P255" s="295" t="s">
        <v>99</v>
      </c>
      <c r="R255" s="212"/>
      <c r="S255" s="216"/>
      <c r="T255" s="216">
        <v>3730</v>
      </c>
      <c r="U255" s="216">
        <v>4850</v>
      </c>
      <c r="V255" s="216">
        <v>5335</v>
      </c>
      <c r="W255" s="216"/>
      <c r="X255" s="216"/>
      <c r="Y255" s="216"/>
      <c r="Z255" s="216">
        <v>5028</v>
      </c>
    </row>
    <row r="256" spans="1:27" s="62" customFormat="1">
      <c r="A256" s="61" t="s">
        <v>246</v>
      </c>
      <c r="B256" s="60">
        <v>40</v>
      </c>
      <c r="C256" s="60">
        <f>B256*175</f>
        <v>7000</v>
      </c>
      <c r="D256" s="289" t="s">
        <v>25</v>
      </c>
      <c r="E256" s="60">
        <v>0.95</v>
      </c>
      <c r="F256" s="63" t="s">
        <v>572</v>
      </c>
      <c r="G256" s="60">
        <v>67</v>
      </c>
      <c r="H256" s="59" t="s">
        <v>23</v>
      </c>
      <c r="I256" s="63" t="s">
        <v>20</v>
      </c>
      <c r="J256" s="87" t="s">
        <v>88</v>
      </c>
      <c r="K256" s="295"/>
      <c r="L256" s="87" t="s">
        <v>279</v>
      </c>
      <c r="M256" s="87" t="s">
        <v>513</v>
      </c>
      <c r="N256" s="318" t="s">
        <v>22</v>
      </c>
      <c r="O256" s="295" t="s">
        <v>18</v>
      </c>
      <c r="P256" s="295" t="s">
        <v>99</v>
      </c>
      <c r="R256" s="212"/>
      <c r="S256" s="216"/>
      <c r="T256" s="216">
        <v>3730</v>
      </c>
      <c r="U256" s="216">
        <v>4850</v>
      </c>
      <c r="V256" s="216">
        <v>5335</v>
      </c>
      <c r="W256" s="216"/>
      <c r="X256" s="216"/>
      <c r="Y256" s="216"/>
      <c r="Z256" s="216">
        <v>5029</v>
      </c>
    </row>
    <row r="257" spans="1:26" s="62" customFormat="1">
      <c r="A257" s="59" t="s">
        <v>247</v>
      </c>
      <c r="B257" s="60">
        <v>60</v>
      </c>
      <c r="C257" s="60">
        <f t="shared" si="17"/>
        <v>9600</v>
      </c>
      <c r="D257" s="289" t="s">
        <v>25</v>
      </c>
      <c r="E257" s="60">
        <v>0.95</v>
      </c>
      <c r="F257" s="63" t="s">
        <v>572</v>
      </c>
      <c r="G257" s="60">
        <v>67</v>
      </c>
      <c r="H257" s="59" t="s">
        <v>23</v>
      </c>
      <c r="I257" s="63" t="s">
        <v>20</v>
      </c>
      <c r="J257" s="87" t="s">
        <v>532</v>
      </c>
      <c r="K257" s="295"/>
      <c r="L257" s="87" t="s">
        <v>279</v>
      </c>
      <c r="M257" s="87" t="s">
        <v>513</v>
      </c>
      <c r="N257" s="318" t="s">
        <v>22</v>
      </c>
      <c r="O257" s="295" t="s">
        <v>18</v>
      </c>
      <c r="P257" s="295" t="s">
        <v>99</v>
      </c>
      <c r="R257" s="212"/>
      <c r="S257" s="216"/>
      <c r="T257" s="216">
        <v>3730</v>
      </c>
      <c r="U257" s="216">
        <v>4850</v>
      </c>
      <c r="V257" s="216">
        <v>5335</v>
      </c>
      <c r="W257" s="216"/>
      <c r="X257" s="216"/>
      <c r="Y257" s="216"/>
      <c r="Z257" s="216">
        <v>5030</v>
      </c>
    </row>
    <row r="258" spans="1:26" s="62" customFormat="1">
      <c r="A258" s="61" t="s">
        <v>248</v>
      </c>
      <c r="B258" s="60">
        <v>40</v>
      </c>
      <c r="C258" s="60">
        <f>B258*175</f>
        <v>7000</v>
      </c>
      <c r="D258" s="289" t="s">
        <v>25</v>
      </c>
      <c r="E258" s="60">
        <v>0.95</v>
      </c>
      <c r="F258" s="63" t="s">
        <v>573</v>
      </c>
      <c r="G258" s="60">
        <v>67</v>
      </c>
      <c r="H258" s="59" t="s">
        <v>23</v>
      </c>
      <c r="I258" s="63" t="s">
        <v>20</v>
      </c>
      <c r="J258" s="87" t="s">
        <v>89</v>
      </c>
      <c r="K258" s="295"/>
      <c r="L258" s="87" t="s">
        <v>279</v>
      </c>
      <c r="M258" s="87" t="s">
        <v>513</v>
      </c>
      <c r="N258" s="318" t="s">
        <v>22</v>
      </c>
      <c r="O258" s="295" t="s">
        <v>18</v>
      </c>
      <c r="P258" s="295" t="s">
        <v>99</v>
      </c>
      <c r="Q258" s="64"/>
      <c r="R258" s="212"/>
      <c r="S258" s="216"/>
      <c r="T258" s="216">
        <v>3730</v>
      </c>
      <c r="U258" s="216">
        <v>4850</v>
      </c>
      <c r="V258" s="216">
        <v>5335</v>
      </c>
      <c r="W258" s="216"/>
      <c r="X258" s="216"/>
      <c r="Y258" s="216"/>
      <c r="Z258" s="216">
        <v>5031</v>
      </c>
    </row>
    <row r="259" spans="1:26" s="62" customFormat="1">
      <c r="A259" s="61" t="s">
        <v>249</v>
      </c>
      <c r="B259" s="60">
        <v>60</v>
      </c>
      <c r="C259" s="60">
        <f t="shared" si="17"/>
        <v>9600</v>
      </c>
      <c r="D259" s="289" t="s">
        <v>25</v>
      </c>
      <c r="E259" s="60">
        <v>0.95</v>
      </c>
      <c r="F259" s="63" t="s">
        <v>573</v>
      </c>
      <c r="G259" s="60">
        <v>67</v>
      </c>
      <c r="H259" s="59" t="s">
        <v>23</v>
      </c>
      <c r="I259" s="63" t="s">
        <v>20</v>
      </c>
      <c r="J259" s="87" t="s">
        <v>533</v>
      </c>
      <c r="K259" s="295"/>
      <c r="L259" s="87" t="s">
        <v>279</v>
      </c>
      <c r="M259" s="87" t="s">
        <v>513</v>
      </c>
      <c r="N259" s="318" t="s">
        <v>22</v>
      </c>
      <c r="O259" s="295" t="s">
        <v>18</v>
      </c>
      <c r="P259" s="295" t="s">
        <v>99</v>
      </c>
      <c r="Q259" s="64"/>
      <c r="R259" s="212"/>
      <c r="S259" s="216"/>
      <c r="T259" s="216">
        <v>3730</v>
      </c>
      <c r="U259" s="216">
        <v>4850</v>
      </c>
      <c r="V259" s="216">
        <v>5335</v>
      </c>
      <c r="W259" s="216"/>
      <c r="X259" s="216"/>
      <c r="Y259" s="216"/>
      <c r="Z259" s="216">
        <v>5032</v>
      </c>
    </row>
    <row r="260" spans="1:26" s="62" customFormat="1">
      <c r="A260" s="61" t="s">
        <v>250</v>
      </c>
      <c r="B260" s="60">
        <v>80</v>
      </c>
      <c r="C260" s="60">
        <f>B260*175</f>
        <v>14000</v>
      </c>
      <c r="D260" s="289" t="s">
        <v>25</v>
      </c>
      <c r="E260" s="60">
        <v>0.95</v>
      </c>
      <c r="F260" s="63" t="s">
        <v>567</v>
      </c>
      <c r="G260" s="60">
        <v>67</v>
      </c>
      <c r="H260" s="59" t="s">
        <v>23</v>
      </c>
      <c r="I260" s="63" t="s">
        <v>20</v>
      </c>
      <c r="J260" s="87" t="s">
        <v>92</v>
      </c>
      <c r="K260" s="295"/>
      <c r="L260" s="87" t="s">
        <v>279</v>
      </c>
      <c r="M260" s="87" t="s">
        <v>513</v>
      </c>
      <c r="N260" s="318" t="s">
        <v>22</v>
      </c>
      <c r="O260" s="295" t="s">
        <v>18</v>
      </c>
      <c r="P260" s="295" t="s">
        <v>99</v>
      </c>
      <c r="R260" s="212"/>
      <c r="S260" s="216"/>
      <c r="T260" s="216">
        <v>7465</v>
      </c>
      <c r="U260" s="216">
        <v>9705</v>
      </c>
      <c r="V260" s="216">
        <v>10675</v>
      </c>
      <c r="W260" s="216"/>
      <c r="X260" s="216"/>
      <c r="Y260" s="216"/>
      <c r="Z260" s="216">
        <v>5033</v>
      </c>
    </row>
    <row r="261" spans="1:26" s="62" customFormat="1">
      <c r="A261" s="61" t="s">
        <v>251</v>
      </c>
      <c r="B261" s="60">
        <v>120</v>
      </c>
      <c r="C261" s="60">
        <f t="shared" si="17"/>
        <v>19200</v>
      </c>
      <c r="D261" s="289" t="s">
        <v>25</v>
      </c>
      <c r="E261" s="60">
        <v>0.95</v>
      </c>
      <c r="F261" s="63" t="s">
        <v>567</v>
      </c>
      <c r="G261" s="60">
        <v>67</v>
      </c>
      <c r="H261" s="59" t="s">
        <v>23</v>
      </c>
      <c r="I261" s="63" t="s">
        <v>20</v>
      </c>
      <c r="J261" s="87" t="s">
        <v>534</v>
      </c>
      <c r="K261" s="295"/>
      <c r="L261" s="87" t="s">
        <v>279</v>
      </c>
      <c r="M261" s="87" t="s">
        <v>513</v>
      </c>
      <c r="N261" s="318" t="s">
        <v>22</v>
      </c>
      <c r="O261" s="295" t="s">
        <v>18</v>
      </c>
      <c r="P261" s="295" t="s">
        <v>99</v>
      </c>
      <c r="R261" s="212"/>
      <c r="S261" s="216"/>
      <c r="T261" s="216">
        <v>7465</v>
      </c>
      <c r="U261" s="216">
        <v>9705</v>
      </c>
      <c r="V261" s="216">
        <v>10675</v>
      </c>
      <c r="W261" s="216"/>
      <c r="X261" s="216"/>
      <c r="Y261" s="216"/>
      <c r="Z261" s="216">
        <v>5034</v>
      </c>
    </row>
    <row r="262" spans="1:26" s="62" customFormat="1">
      <c r="A262" s="61" t="s">
        <v>252</v>
      </c>
      <c r="B262" s="60">
        <v>80</v>
      </c>
      <c r="C262" s="60">
        <f>B262*175</f>
        <v>14000</v>
      </c>
      <c r="D262" s="289" t="s">
        <v>25</v>
      </c>
      <c r="E262" s="60">
        <v>0.95</v>
      </c>
      <c r="F262" s="63" t="s">
        <v>571</v>
      </c>
      <c r="G262" s="60">
        <v>67</v>
      </c>
      <c r="H262" s="59" t="s">
        <v>23</v>
      </c>
      <c r="I262" s="63" t="s">
        <v>20</v>
      </c>
      <c r="J262" s="87" t="s">
        <v>92</v>
      </c>
      <c r="K262" s="295"/>
      <c r="L262" s="87" t="s">
        <v>279</v>
      </c>
      <c r="M262" s="87" t="s">
        <v>513</v>
      </c>
      <c r="N262" s="318" t="s">
        <v>22</v>
      </c>
      <c r="O262" s="295" t="s">
        <v>18</v>
      </c>
      <c r="P262" s="295" t="s">
        <v>99</v>
      </c>
      <c r="R262" s="212"/>
      <c r="S262" s="216"/>
      <c r="T262" s="216">
        <v>7465</v>
      </c>
      <c r="U262" s="216">
        <v>9705</v>
      </c>
      <c r="V262" s="216">
        <v>10675</v>
      </c>
      <c r="W262" s="216"/>
      <c r="X262" s="216"/>
      <c r="Y262" s="216"/>
      <c r="Z262" s="216">
        <v>5035</v>
      </c>
    </row>
    <row r="263" spans="1:26" s="62" customFormat="1">
      <c r="A263" s="61" t="s">
        <v>253</v>
      </c>
      <c r="B263" s="60">
        <v>120</v>
      </c>
      <c r="C263" s="60">
        <f t="shared" si="17"/>
        <v>19200</v>
      </c>
      <c r="D263" s="289" t="s">
        <v>25</v>
      </c>
      <c r="E263" s="60">
        <v>0.95</v>
      </c>
      <c r="F263" s="63" t="s">
        <v>571</v>
      </c>
      <c r="G263" s="60">
        <v>67</v>
      </c>
      <c r="H263" s="59" t="s">
        <v>23</v>
      </c>
      <c r="I263" s="63" t="s">
        <v>20</v>
      </c>
      <c r="J263" s="87" t="s">
        <v>534</v>
      </c>
      <c r="K263" s="295"/>
      <c r="L263" s="87" t="s">
        <v>279</v>
      </c>
      <c r="M263" s="87" t="s">
        <v>513</v>
      </c>
      <c r="N263" s="318" t="s">
        <v>22</v>
      </c>
      <c r="O263" s="295" t="s">
        <v>18</v>
      </c>
      <c r="P263" s="295" t="s">
        <v>99</v>
      </c>
      <c r="R263" s="212"/>
      <c r="S263" s="216"/>
      <c r="T263" s="216">
        <v>7465</v>
      </c>
      <c r="U263" s="216">
        <v>9705</v>
      </c>
      <c r="V263" s="216">
        <v>10675</v>
      </c>
      <c r="W263" s="216"/>
      <c r="X263" s="216"/>
      <c r="Y263" s="216"/>
      <c r="Z263" s="216">
        <v>5036</v>
      </c>
    </row>
    <row r="264" spans="1:26" s="62" customFormat="1">
      <c r="A264" s="61" t="s">
        <v>254</v>
      </c>
      <c r="B264" s="60">
        <v>80</v>
      </c>
      <c r="C264" s="60">
        <f>B264*175</f>
        <v>14000</v>
      </c>
      <c r="D264" s="289" t="s">
        <v>25</v>
      </c>
      <c r="E264" s="60">
        <v>0.95</v>
      </c>
      <c r="F264" s="63" t="s">
        <v>572</v>
      </c>
      <c r="G264" s="60">
        <v>67</v>
      </c>
      <c r="H264" s="59" t="s">
        <v>23</v>
      </c>
      <c r="I264" s="63" t="s">
        <v>20</v>
      </c>
      <c r="J264" s="87" t="s">
        <v>92</v>
      </c>
      <c r="K264" s="295"/>
      <c r="L264" s="87" t="s">
        <v>279</v>
      </c>
      <c r="M264" s="87" t="s">
        <v>513</v>
      </c>
      <c r="N264" s="318" t="s">
        <v>22</v>
      </c>
      <c r="O264" s="295" t="s">
        <v>18</v>
      </c>
      <c r="P264" s="295" t="s">
        <v>99</v>
      </c>
      <c r="R264" s="212"/>
      <c r="S264" s="216"/>
      <c r="T264" s="216">
        <v>7465</v>
      </c>
      <c r="U264" s="216">
        <v>9705</v>
      </c>
      <c r="V264" s="216">
        <v>10675</v>
      </c>
      <c r="W264" s="216"/>
      <c r="X264" s="216"/>
      <c r="Y264" s="216"/>
      <c r="Z264" s="216">
        <v>5037</v>
      </c>
    </row>
    <row r="265" spans="1:26" s="62" customFormat="1">
      <c r="A265" s="61" t="s">
        <v>255</v>
      </c>
      <c r="B265" s="60">
        <v>120</v>
      </c>
      <c r="C265" s="60">
        <f t="shared" si="17"/>
        <v>19200</v>
      </c>
      <c r="D265" s="289" t="s">
        <v>25</v>
      </c>
      <c r="E265" s="60">
        <v>0.95</v>
      </c>
      <c r="F265" s="63" t="s">
        <v>572</v>
      </c>
      <c r="G265" s="60">
        <v>67</v>
      </c>
      <c r="H265" s="59" t="s">
        <v>23</v>
      </c>
      <c r="I265" s="63" t="s">
        <v>20</v>
      </c>
      <c r="J265" s="87" t="s">
        <v>534</v>
      </c>
      <c r="K265" s="295"/>
      <c r="L265" s="87" t="s">
        <v>279</v>
      </c>
      <c r="M265" s="87" t="s">
        <v>513</v>
      </c>
      <c r="N265" s="318" t="s">
        <v>22</v>
      </c>
      <c r="O265" s="295" t="s">
        <v>18</v>
      </c>
      <c r="P265" s="295" t="s">
        <v>99</v>
      </c>
      <c r="R265" s="212"/>
      <c r="S265" s="216"/>
      <c r="T265" s="216">
        <v>7465</v>
      </c>
      <c r="U265" s="216">
        <v>9705</v>
      </c>
      <c r="V265" s="216">
        <v>10675</v>
      </c>
      <c r="W265" s="216"/>
      <c r="X265" s="216"/>
      <c r="Y265" s="216"/>
      <c r="Z265" s="216">
        <v>5038</v>
      </c>
    </row>
    <row r="266" spans="1:26" s="62" customFormat="1">
      <c r="A266" s="59" t="s">
        <v>256</v>
      </c>
      <c r="B266" s="60">
        <v>80</v>
      </c>
      <c r="C266" s="60">
        <f>B266*175</f>
        <v>14000</v>
      </c>
      <c r="D266" s="289" t="s">
        <v>25</v>
      </c>
      <c r="E266" s="60">
        <v>0.95</v>
      </c>
      <c r="F266" s="63" t="s">
        <v>573</v>
      </c>
      <c r="G266" s="60">
        <v>67</v>
      </c>
      <c r="H266" s="59" t="s">
        <v>23</v>
      </c>
      <c r="I266" s="63" t="s">
        <v>20</v>
      </c>
      <c r="J266" s="87" t="s">
        <v>93</v>
      </c>
      <c r="K266" s="295"/>
      <c r="L266" s="87" t="s">
        <v>279</v>
      </c>
      <c r="M266" s="87" t="s">
        <v>513</v>
      </c>
      <c r="N266" s="318" t="s">
        <v>22</v>
      </c>
      <c r="O266" s="295" t="s">
        <v>18</v>
      </c>
      <c r="P266" s="295" t="s">
        <v>99</v>
      </c>
      <c r="R266" s="212"/>
      <c r="S266" s="216"/>
      <c r="T266" s="216">
        <v>7465</v>
      </c>
      <c r="U266" s="216">
        <v>9705</v>
      </c>
      <c r="V266" s="216">
        <v>10675</v>
      </c>
      <c r="W266" s="216"/>
      <c r="X266" s="216"/>
      <c r="Y266" s="216"/>
      <c r="Z266" s="216">
        <v>5039</v>
      </c>
    </row>
    <row r="267" spans="1:26" s="62" customFormat="1">
      <c r="A267" s="61" t="s">
        <v>257</v>
      </c>
      <c r="B267" s="60">
        <v>120</v>
      </c>
      <c r="C267" s="60">
        <f t="shared" si="17"/>
        <v>19200</v>
      </c>
      <c r="D267" s="289" t="s">
        <v>25</v>
      </c>
      <c r="E267" s="60">
        <v>0.95</v>
      </c>
      <c r="F267" s="63" t="s">
        <v>573</v>
      </c>
      <c r="G267" s="60">
        <v>67</v>
      </c>
      <c r="H267" s="59" t="s">
        <v>23</v>
      </c>
      <c r="I267" s="63" t="s">
        <v>20</v>
      </c>
      <c r="J267" s="87" t="s">
        <v>535</v>
      </c>
      <c r="K267" s="295"/>
      <c r="L267" s="87" t="s">
        <v>279</v>
      </c>
      <c r="M267" s="87" t="s">
        <v>513</v>
      </c>
      <c r="N267" s="318" t="s">
        <v>22</v>
      </c>
      <c r="O267" s="295" t="s">
        <v>18</v>
      </c>
      <c r="P267" s="295" t="s">
        <v>99</v>
      </c>
      <c r="R267" s="212"/>
      <c r="S267" s="216"/>
      <c r="T267" s="216">
        <v>7465</v>
      </c>
      <c r="U267" s="216">
        <v>9705</v>
      </c>
      <c r="V267" s="216">
        <v>10675</v>
      </c>
      <c r="W267" s="216"/>
      <c r="X267" s="216"/>
      <c r="Y267" s="216"/>
      <c r="Z267" s="216">
        <v>5040</v>
      </c>
    </row>
    <row r="268" spans="1:26" s="62" customFormat="1">
      <c r="A268" s="61" t="s">
        <v>258</v>
      </c>
      <c r="B268" s="60">
        <v>120</v>
      </c>
      <c r="C268" s="60">
        <f>B268*175</f>
        <v>21000</v>
      </c>
      <c r="D268" s="289" t="s">
        <v>25</v>
      </c>
      <c r="E268" s="60">
        <v>0.95</v>
      </c>
      <c r="F268" s="63" t="s">
        <v>567</v>
      </c>
      <c r="G268" s="60">
        <v>67</v>
      </c>
      <c r="H268" s="59" t="s">
        <v>23</v>
      </c>
      <c r="I268" s="63" t="s">
        <v>20</v>
      </c>
      <c r="J268" s="87" t="s">
        <v>96</v>
      </c>
      <c r="K268" s="295"/>
      <c r="L268" s="87" t="s">
        <v>279</v>
      </c>
      <c r="M268" s="87" t="s">
        <v>513</v>
      </c>
      <c r="N268" s="318" t="s">
        <v>22</v>
      </c>
      <c r="O268" s="295" t="s">
        <v>18</v>
      </c>
      <c r="P268" s="295" t="s">
        <v>99</v>
      </c>
      <c r="R268" s="212"/>
      <c r="S268" s="216"/>
      <c r="T268" s="216">
        <v>11195</v>
      </c>
      <c r="U268" s="216">
        <v>14555</v>
      </c>
      <c r="V268" s="216">
        <v>16010</v>
      </c>
      <c r="W268" s="216"/>
      <c r="X268" s="216"/>
      <c r="Y268" s="216"/>
      <c r="Z268" s="216">
        <v>5041</v>
      </c>
    </row>
    <row r="269" spans="1:26" s="62" customFormat="1">
      <c r="A269" s="61" t="s">
        <v>259</v>
      </c>
      <c r="B269" s="60">
        <v>180</v>
      </c>
      <c r="C269" s="60">
        <f t="shared" si="17"/>
        <v>28800</v>
      </c>
      <c r="D269" s="289" t="s">
        <v>25</v>
      </c>
      <c r="E269" s="60">
        <v>0.95</v>
      </c>
      <c r="F269" s="63" t="s">
        <v>567</v>
      </c>
      <c r="G269" s="60">
        <v>67</v>
      </c>
      <c r="H269" s="59" t="s">
        <v>23</v>
      </c>
      <c r="I269" s="63" t="s">
        <v>20</v>
      </c>
      <c r="J269" s="87" t="s">
        <v>536</v>
      </c>
      <c r="K269" s="295"/>
      <c r="L269" s="87" t="s">
        <v>279</v>
      </c>
      <c r="M269" s="87" t="s">
        <v>513</v>
      </c>
      <c r="N269" s="318" t="s">
        <v>22</v>
      </c>
      <c r="O269" s="295" t="s">
        <v>18</v>
      </c>
      <c r="P269" s="295" t="s">
        <v>99</v>
      </c>
      <c r="R269" s="212"/>
      <c r="S269" s="216"/>
      <c r="T269" s="216">
        <v>11195</v>
      </c>
      <c r="U269" s="216">
        <v>14555</v>
      </c>
      <c r="V269" s="216">
        <v>16010</v>
      </c>
      <c r="W269" s="216"/>
      <c r="X269" s="216"/>
      <c r="Y269" s="216"/>
      <c r="Z269" s="216">
        <v>5042</v>
      </c>
    </row>
    <row r="270" spans="1:26" s="62" customFormat="1">
      <c r="A270" s="61" t="s">
        <v>260</v>
      </c>
      <c r="B270" s="60">
        <v>120</v>
      </c>
      <c r="C270" s="60">
        <f>B270*175</f>
        <v>21000</v>
      </c>
      <c r="D270" s="289" t="s">
        <v>25</v>
      </c>
      <c r="E270" s="60">
        <v>0.95</v>
      </c>
      <c r="F270" s="63" t="s">
        <v>571</v>
      </c>
      <c r="G270" s="60">
        <v>67</v>
      </c>
      <c r="H270" s="59" t="s">
        <v>23</v>
      </c>
      <c r="I270" s="63" t="s">
        <v>20</v>
      </c>
      <c r="J270" s="87" t="s">
        <v>96</v>
      </c>
      <c r="K270" s="295"/>
      <c r="L270" s="87" t="s">
        <v>279</v>
      </c>
      <c r="M270" s="87" t="s">
        <v>513</v>
      </c>
      <c r="N270" s="318" t="s">
        <v>22</v>
      </c>
      <c r="O270" s="295" t="s">
        <v>18</v>
      </c>
      <c r="P270" s="295" t="s">
        <v>99</v>
      </c>
      <c r="R270" s="212"/>
      <c r="S270" s="216"/>
      <c r="T270" s="216">
        <v>11195</v>
      </c>
      <c r="U270" s="216">
        <v>14555</v>
      </c>
      <c r="V270" s="216">
        <v>16010</v>
      </c>
      <c r="W270" s="216"/>
      <c r="X270" s="216"/>
      <c r="Y270" s="216"/>
      <c r="Z270" s="216">
        <v>5043</v>
      </c>
    </row>
    <row r="271" spans="1:26" s="62" customFormat="1">
      <c r="A271" s="61" t="s">
        <v>261</v>
      </c>
      <c r="B271" s="60">
        <v>180</v>
      </c>
      <c r="C271" s="60">
        <f t="shared" si="17"/>
        <v>28800</v>
      </c>
      <c r="D271" s="289" t="s">
        <v>25</v>
      </c>
      <c r="E271" s="60">
        <v>0.95</v>
      </c>
      <c r="F271" s="63" t="s">
        <v>571</v>
      </c>
      <c r="G271" s="60">
        <v>67</v>
      </c>
      <c r="H271" s="59" t="s">
        <v>23</v>
      </c>
      <c r="I271" s="63" t="s">
        <v>20</v>
      </c>
      <c r="J271" s="87" t="s">
        <v>536</v>
      </c>
      <c r="K271" s="295"/>
      <c r="L271" s="87" t="s">
        <v>279</v>
      </c>
      <c r="M271" s="87" t="s">
        <v>513</v>
      </c>
      <c r="N271" s="318" t="s">
        <v>22</v>
      </c>
      <c r="O271" s="295" t="s">
        <v>18</v>
      </c>
      <c r="P271" s="295" t="s">
        <v>99</v>
      </c>
      <c r="R271" s="212"/>
      <c r="S271" s="216"/>
      <c r="T271" s="216">
        <v>11195</v>
      </c>
      <c r="U271" s="216">
        <v>14555</v>
      </c>
      <c r="V271" s="216">
        <v>16010</v>
      </c>
      <c r="W271" s="216"/>
      <c r="X271" s="216"/>
      <c r="Y271" s="216"/>
      <c r="Z271" s="216">
        <v>5044</v>
      </c>
    </row>
    <row r="272" spans="1:26" s="62" customFormat="1">
      <c r="A272" s="61" t="s">
        <v>262</v>
      </c>
      <c r="B272" s="60">
        <v>120</v>
      </c>
      <c r="C272" s="60">
        <f>B272*175</f>
        <v>21000</v>
      </c>
      <c r="D272" s="289" t="s">
        <v>25</v>
      </c>
      <c r="E272" s="60">
        <v>0.95</v>
      </c>
      <c r="F272" s="63" t="s">
        <v>572</v>
      </c>
      <c r="G272" s="60">
        <v>67</v>
      </c>
      <c r="H272" s="59" t="s">
        <v>23</v>
      </c>
      <c r="I272" s="63" t="s">
        <v>20</v>
      </c>
      <c r="J272" s="87" t="s">
        <v>96</v>
      </c>
      <c r="K272" s="295"/>
      <c r="L272" s="87" t="s">
        <v>279</v>
      </c>
      <c r="M272" s="87" t="s">
        <v>513</v>
      </c>
      <c r="N272" s="318" t="s">
        <v>22</v>
      </c>
      <c r="O272" s="295" t="s">
        <v>18</v>
      </c>
      <c r="P272" s="295" t="s">
        <v>99</v>
      </c>
      <c r="R272" s="212"/>
      <c r="S272" s="216"/>
      <c r="T272" s="216">
        <v>11195</v>
      </c>
      <c r="U272" s="216">
        <v>14555</v>
      </c>
      <c r="V272" s="216">
        <v>16010</v>
      </c>
      <c r="W272" s="216"/>
      <c r="X272" s="216"/>
      <c r="Y272" s="216"/>
      <c r="Z272" s="216">
        <v>5045</v>
      </c>
    </row>
    <row r="273" spans="1:28" s="62" customFormat="1">
      <c r="A273" s="61" t="s">
        <v>263</v>
      </c>
      <c r="B273" s="60">
        <v>180</v>
      </c>
      <c r="C273" s="60">
        <f t="shared" si="17"/>
        <v>28800</v>
      </c>
      <c r="D273" s="289" t="s">
        <v>25</v>
      </c>
      <c r="E273" s="60">
        <v>0.95</v>
      </c>
      <c r="F273" s="63" t="s">
        <v>572</v>
      </c>
      <c r="G273" s="60">
        <v>67</v>
      </c>
      <c r="H273" s="59" t="s">
        <v>23</v>
      </c>
      <c r="I273" s="63" t="s">
        <v>20</v>
      </c>
      <c r="J273" s="87" t="s">
        <v>528</v>
      </c>
      <c r="K273" s="295"/>
      <c r="L273" s="87" t="s">
        <v>279</v>
      </c>
      <c r="M273" s="87" t="s">
        <v>513</v>
      </c>
      <c r="N273" s="318" t="s">
        <v>22</v>
      </c>
      <c r="O273" s="295" t="s">
        <v>18</v>
      </c>
      <c r="P273" s="295" t="s">
        <v>99</v>
      </c>
      <c r="R273" s="212"/>
      <c r="S273" s="216"/>
      <c r="T273" s="216">
        <v>11195</v>
      </c>
      <c r="U273" s="216">
        <v>14555</v>
      </c>
      <c r="V273" s="216">
        <v>16010</v>
      </c>
      <c r="W273" s="216"/>
      <c r="X273" s="216"/>
      <c r="Y273" s="216"/>
      <c r="Z273" s="216">
        <v>5046</v>
      </c>
    </row>
    <row r="274" spans="1:28" s="62" customFormat="1">
      <c r="A274" s="61" t="s">
        <v>264</v>
      </c>
      <c r="B274" s="60">
        <v>120</v>
      </c>
      <c r="C274" s="60">
        <f>B274*175</f>
        <v>21000</v>
      </c>
      <c r="D274" s="289" t="s">
        <v>25</v>
      </c>
      <c r="E274" s="60">
        <v>0.95</v>
      </c>
      <c r="F274" s="63" t="s">
        <v>573</v>
      </c>
      <c r="G274" s="60">
        <v>67</v>
      </c>
      <c r="H274" s="59" t="s">
        <v>23</v>
      </c>
      <c r="I274" s="63" t="s">
        <v>20</v>
      </c>
      <c r="J274" s="87" t="s">
        <v>97</v>
      </c>
      <c r="K274" s="295"/>
      <c r="L274" s="87" t="s">
        <v>279</v>
      </c>
      <c r="M274" s="87" t="s">
        <v>513</v>
      </c>
      <c r="N274" s="318" t="s">
        <v>22</v>
      </c>
      <c r="O274" s="295" t="s">
        <v>18</v>
      </c>
      <c r="P274" s="295" t="s">
        <v>99</v>
      </c>
      <c r="R274" s="212"/>
      <c r="S274" s="216"/>
      <c r="T274" s="216">
        <v>11195</v>
      </c>
      <c r="U274" s="216">
        <v>14555</v>
      </c>
      <c r="V274" s="216">
        <v>16010</v>
      </c>
      <c r="W274" s="216"/>
      <c r="X274" s="216"/>
      <c r="Y274" s="216"/>
      <c r="Z274" s="216">
        <v>5047</v>
      </c>
    </row>
    <row r="275" spans="1:28" s="62" customFormat="1">
      <c r="A275" s="61" t="s">
        <v>265</v>
      </c>
      <c r="B275" s="60">
        <v>180</v>
      </c>
      <c r="C275" s="60">
        <f t="shared" si="17"/>
        <v>28800</v>
      </c>
      <c r="D275" s="289" t="s">
        <v>25</v>
      </c>
      <c r="E275" s="60">
        <v>0.95</v>
      </c>
      <c r="F275" s="63" t="s">
        <v>573</v>
      </c>
      <c r="G275" s="60">
        <v>67</v>
      </c>
      <c r="H275" s="59" t="s">
        <v>23</v>
      </c>
      <c r="I275" s="63" t="s">
        <v>20</v>
      </c>
      <c r="J275" s="87" t="s">
        <v>537</v>
      </c>
      <c r="K275" s="295"/>
      <c r="L275" s="87" t="s">
        <v>279</v>
      </c>
      <c r="M275" s="87" t="s">
        <v>513</v>
      </c>
      <c r="N275" s="318" t="s">
        <v>22</v>
      </c>
      <c r="O275" s="295" t="s">
        <v>18</v>
      </c>
      <c r="P275" s="295" t="s">
        <v>99</v>
      </c>
      <c r="R275" s="212"/>
      <c r="S275" s="216"/>
      <c r="T275" s="216">
        <v>11195</v>
      </c>
      <c r="U275" s="216">
        <v>14555</v>
      </c>
      <c r="V275" s="216">
        <v>16010</v>
      </c>
      <c r="W275" s="216"/>
      <c r="X275" s="216"/>
      <c r="Y275" s="216"/>
      <c r="Z275" s="216">
        <v>5048</v>
      </c>
    </row>
    <row r="276" spans="1:28" s="57" customFormat="1" ht="13.8">
      <c r="A276" s="58" t="s">
        <v>266</v>
      </c>
      <c r="B276" s="54">
        <v>27</v>
      </c>
      <c r="C276" s="54">
        <f>B276*145</f>
        <v>3915</v>
      </c>
      <c r="D276" s="55" t="s">
        <v>25</v>
      </c>
      <c r="E276" s="54">
        <v>0.95</v>
      </c>
      <c r="F276" s="284" t="s">
        <v>575</v>
      </c>
      <c r="G276" s="54">
        <v>67</v>
      </c>
      <c r="H276" s="58" t="s">
        <v>314</v>
      </c>
      <c r="I276" s="54" t="s">
        <v>20</v>
      </c>
      <c r="J276" s="131" t="s">
        <v>386</v>
      </c>
      <c r="K276" s="319"/>
      <c r="L276" s="131" t="s">
        <v>278</v>
      </c>
      <c r="M276" s="131" t="s">
        <v>513</v>
      </c>
      <c r="N276" s="319" t="s">
        <v>15</v>
      </c>
      <c r="O276" s="320" t="s">
        <v>280</v>
      </c>
      <c r="P276" s="85" t="s">
        <v>99</v>
      </c>
      <c r="Q276" s="56"/>
      <c r="R276" s="218"/>
      <c r="S276" s="218"/>
      <c r="T276" s="218">
        <v>2025</v>
      </c>
      <c r="U276" s="218">
        <v>2635</v>
      </c>
      <c r="V276" s="218">
        <v>2900</v>
      </c>
      <c r="W276" s="218"/>
      <c r="X276" s="218"/>
      <c r="Y276" s="218"/>
      <c r="Z276" s="218">
        <v>3001</v>
      </c>
      <c r="AB276" s="58"/>
    </row>
    <row r="277" spans="1:28" s="57" customFormat="1" ht="13.8">
      <c r="A277" s="58" t="s">
        <v>267</v>
      </c>
      <c r="B277" s="54">
        <v>27</v>
      </c>
      <c r="C277" s="54">
        <f t="shared" ref="C277:C313" si="18">B277*145</f>
        <v>3915</v>
      </c>
      <c r="D277" s="55" t="s">
        <v>25</v>
      </c>
      <c r="E277" s="54">
        <v>0.95</v>
      </c>
      <c r="F277" s="54" t="s">
        <v>574</v>
      </c>
      <c r="G277" s="54">
        <v>67</v>
      </c>
      <c r="H277" s="58" t="s">
        <v>314</v>
      </c>
      <c r="I277" s="54" t="s">
        <v>20</v>
      </c>
      <c r="J277" s="131" t="s">
        <v>386</v>
      </c>
      <c r="K277" s="319"/>
      <c r="L277" s="131" t="s">
        <v>278</v>
      </c>
      <c r="M277" s="131" t="s">
        <v>513</v>
      </c>
      <c r="N277" s="319" t="s">
        <v>15</v>
      </c>
      <c r="O277" s="320" t="s">
        <v>280</v>
      </c>
      <c r="P277" s="85" t="s">
        <v>99</v>
      </c>
      <c r="Q277" s="56"/>
      <c r="R277" s="218"/>
      <c r="S277" s="218"/>
      <c r="T277" s="218">
        <v>2025</v>
      </c>
      <c r="U277" s="218">
        <v>2635</v>
      </c>
      <c r="V277" s="218">
        <v>2900</v>
      </c>
      <c r="W277" s="218"/>
      <c r="X277" s="218"/>
      <c r="Y277" s="218"/>
      <c r="Z277" s="218">
        <v>3002</v>
      </c>
      <c r="AB277" s="58"/>
    </row>
    <row r="278" spans="1:28" s="57" customFormat="1" ht="13.8">
      <c r="A278" s="53" t="s">
        <v>268</v>
      </c>
      <c r="B278" s="54">
        <v>53</v>
      </c>
      <c r="C278" s="54">
        <f t="shared" si="18"/>
        <v>7685</v>
      </c>
      <c r="D278" s="55" t="s">
        <v>25</v>
      </c>
      <c r="E278" s="54">
        <v>0.95</v>
      </c>
      <c r="F278" s="54" t="s">
        <v>575</v>
      </c>
      <c r="G278" s="54">
        <v>67</v>
      </c>
      <c r="H278" s="58" t="s">
        <v>314</v>
      </c>
      <c r="I278" s="54" t="s">
        <v>20</v>
      </c>
      <c r="J278" s="131" t="s">
        <v>392</v>
      </c>
      <c r="K278" s="319"/>
      <c r="L278" s="131" t="s">
        <v>278</v>
      </c>
      <c r="M278" s="131" t="s">
        <v>513</v>
      </c>
      <c r="N278" s="319" t="s">
        <v>15</v>
      </c>
      <c r="O278" s="320" t="s">
        <v>280</v>
      </c>
      <c r="P278" s="85" t="s">
        <v>99</v>
      </c>
      <c r="Q278" s="56"/>
      <c r="R278" s="218"/>
      <c r="S278" s="218"/>
      <c r="T278" s="218">
        <v>3005</v>
      </c>
      <c r="U278" s="218">
        <v>3905</v>
      </c>
      <c r="V278" s="218">
        <v>4295</v>
      </c>
      <c r="W278" s="218"/>
      <c r="X278" s="218"/>
      <c r="Y278" s="218"/>
      <c r="Z278" s="218">
        <v>3003</v>
      </c>
      <c r="AB278" s="58"/>
    </row>
    <row r="279" spans="1:28" s="57" customFormat="1" ht="13.8">
      <c r="A279" s="58" t="s">
        <v>269</v>
      </c>
      <c r="B279" s="54">
        <v>53</v>
      </c>
      <c r="C279" s="54">
        <f t="shared" si="18"/>
        <v>7685</v>
      </c>
      <c r="D279" s="55" t="s">
        <v>25</v>
      </c>
      <c r="E279" s="54">
        <v>0.95</v>
      </c>
      <c r="F279" s="54" t="s">
        <v>574</v>
      </c>
      <c r="G279" s="54">
        <v>67</v>
      </c>
      <c r="H279" s="58" t="s">
        <v>314</v>
      </c>
      <c r="I279" s="54" t="s">
        <v>20</v>
      </c>
      <c r="J279" s="131" t="s">
        <v>392</v>
      </c>
      <c r="K279" s="319"/>
      <c r="L279" s="131" t="s">
        <v>278</v>
      </c>
      <c r="M279" s="131" t="s">
        <v>513</v>
      </c>
      <c r="N279" s="319" t="s">
        <v>15</v>
      </c>
      <c r="O279" s="320" t="s">
        <v>280</v>
      </c>
      <c r="P279" s="85" t="s">
        <v>99</v>
      </c>
      <c r="Q279" s="56"/>
      <c r="R279" s="218"/>
      <c r="S279" s="218"/>
      <c r="T279" s="218">
        <v>3005</v>
      </c>
      <c r="U279" s="218">
        <v>3905</v>
      </c>
      <c r="V279" s="218">
        <v>4295</v>
      </c>
      <c r="W279" s="218"/>
      <c r="X279" s="218"/>
      <c r="Y279" s="218"/>
      <c r="Z279" s="218">
        <v>3004</v>
      </c>
      <c r="AB279" s="58"/>
    </row>
    <row r="280" spans="1:28" s="57" customFormat="1" ht="13.8">
      <c r="A280" s="58" t="s">
        <v>270</v>
      </c>
      <c r="B280" s="54">
        <v>79</v>
      </c>
      <c r="C280" s="54">
        <f t="shared" si="18"/>
        <v>11455</v>
      </c>
      <c r="D280" s="55" t="s">
        <v>25</v>
      </c>
      <c r="E280" s="54">
        <v>0.95</v>
      </c>
      <c r="F280" s="54" t="s">
        <v>575</v>
      </c>
      <c r="G280" s="54">
        <v>67</v>
      </c>
      <c r="H280" s="58" t="s">
        <v>314</v>
      </c>
      <c r="I280" s="54" t="s">
        <v>20</v>
      </c>
      <c r="J280" s="131" t="s">
        <v>399</v>
      </c>
      <c r="K280" s="319"/>
      <c r="L280" s="131" t="s">
        <v>278</v>
      </c>
      <c r="M280" s="131" t="s">
        <v>513</v>
      </c>
      <c r="N280" s="319" t="s">
        <v>15</v>
      </c>
      <c r="O280" s="320" t="s">
        <v>280</v>
      </c>
      <c r="P280" s="85" t="s">
        <v>99</v>
      </c>
      <c r="Q280" s="56"/>
      <c r="R280" s="218"/>
      <c r="S280" s="218"/>
      <c r="T280" s="218">
        <v>4620</v>
      </c>
      <c r="U280" s="218">
        <v>6005</v>
      </c>
      <c r="V280" s="218">
        <v>6605</v>
      </c>
      <c r="W280" s="218"/>
      <c r="X280" s="218"/>
      <c r="Y280" s="218"/>
      <c r="Z280" s="218">
        <v>3005</v>
      </c>
      <c r="AB280" s="58"/>
    </row>
    <row r="281" spans="1:28" s="57" customFormat="1" ht="13.8">
      <c r="A281" s="53" t="s">
        <v>271</v>
      </c>
      <c r="B281" s="54">
        <v>79</v>
      </c>
      <c r="C281" s="54">
        <f t="shared" si="18"/>
        <v>11455</v>
      </c>
      <c r="D281" s="55" t="s">
        <v>25</v>
      </c>
      <c r="E281" s="54">
        <v>0.95</v>
      </c>
      <c r="F281" s="54" t="s">
        <v>574</v>
      </c>
      <c r="G281" s="54">
        <v>67</v>
      </c>
      <c r="H281" s="58" t="s">
        <v>314</v>
      </c>
      <c r="I281" s="54" t="s">
        <v>20</v>
      </c>
      <c r="J281" s="131" t="s">
        <v>399</v>
      </c>
      <c r="K281" s="319"/>
      <c r="L281" s="131" t="s">
        <v>278</v>
      </c>
      <c r="M281" s="131" t="s">
        <v>513</v>
      </c>
      <c r="N281" s="319" t="s">
        <v>15</v>
      </c>
      <c r="O281" s="320" t="s">
        <v>280</v>
      </c>
      <c r="P281" s="85" t="s">
        <v>99</v>
      </c>
      <c r="Q281" s="56"/>
      <c r="R281" s="218"/>
      <c r="S281" s="218"/>
      <c r="T281" s="218">
        <v>4620</v>
      </c>
      <c r="U281" s="218">
        <v>6005</v>
      </c>
      <c r="V281" s="218">
        <v>6605</v>
      </c>
      <c r="W281" s="218"/>
      <c r="X281" s="218"/>
      <c r="Y281" s="218"/>
      <c r="Z281" s="218">
        <v>3006</v>
      </c>
      <c r="AB281" s="58"/>
    </row>
    <row r="282" spans="1:28" s="57" customFormat="1" ht="13.8">
      <c r="A282" s="53" t="s">
        <v>272</v>
      </c>
      <c r="B282" s="54">
        <v>27</v>
      </c>
      <c r="C282" s="54">
        <f t="shared" si="18"/>
        <v>3915</v>
      </c>
      <c r="D282" s="55" t="s">
        <v>25</v>
      </c>
      <c r="E282" s="54">
        <v>0.95</v>
      </c>
      <c r="F282" s="54" t="s">
        <v>575</v>
      </c>
      <c r="G282" s="54">
        <v>67</v>
      </c>
      <c r="H282" s="58" t="s">
        <v>314</v>
      </c>
      <c r="I282" s="54" t="s">
        <v>20</v>
      </c>
      <c r="J282" s="131" t="s">
        <v>389</v>
      </c>
      <c r="K282" s="319"/>
      <c r="L282" s="131" t="s">
        <v>278</v>
      </c>
      <c r="M282" s="131" t="s">
        <v>513</v>
      </c>
      <c r="N282" s="319" t="s">
        <v>15</v>
      </c>
      <c r="O282" s="320" t="s">
        <v>280</v>
      </c>
      <c r="P282" s="85" t="s">
        <v>99</v>
      </c>
      <c r="Q282" s="56"/>
      <c r="R282" s="218"/>
      <c r="S282" s="218"/>
      <c r="T282" s="218">
        <v>2025</v>
      </c>
      <c r="U282" s="218">
        <v>2635</v>
      </c>
      <c r="V282" s="218">
        <v>2900</v>
      </c>
      <c r="W282" s="218"/>
      <c r="X282" s="218"/>
      <c r="Y282" s="218"/>
      <c r="Z282" s="218">
        <v>3007</v>
      </c>
      <c r="AB282" s="58"/>
    </row>
    <row r="283" spans="1:28" s="57" customFormat="1" ht="13.8">
      <c r="A283" s="58" t="s">
        <v>273</v>
      </c>
      <c r="B283" s="54">
        <v>27</v>
      </c>
      <c r="C283" s="54">
        <f t="shared" si="18"/>
        <v>3915</v>
      </c>
      <c r="D283" s="55" t="s">
        <v>25</v>
      </c>
      <c r="E283" s="54">
        <v>0.95</v>
      </c>
      <c r="F283" s="54" t="s">
        <v>574</v>
      </c>
      <c r="G283" s="54">
        <v>67</v>
      </c>
      <c r="H283" s="58" t="s">
        <v>314</v>
      </c>
      <c r="I283" s="54" t="s">
        <v>20</v>
      </c>
      <c r="J283" s="131" t="s">
        <v>389</v>
      </c>
      <c r="K283" s="319"/>
      <c r="L283" s="131" t="s">
        <v>278</v>
      </c>
      <c r="M283" s="131" t="s">
        <v>513</v>
      </c>
      <c r="N283" s="319" t="s">
        <v>15</v>
      </c>
      <c r="O283" s="320" t="s">
        <v>280</v>
      </c>
      <c r="P283" s="85" t="s">
        <v>99</v>
      </c>
      <c r="Q283" s="56"/>
      <c r="R283" s="218"/>
      <c r="S283" s="218"/>
      <c r="T283" s="218">
        <v>2025</v>
      </c>
      <c r="U283" s="218">
        <v>2635</v>
      </c>
      <c r="V283" s="218">
        <v>2900</v>
      </c>
      <c r="W283" s="218"/>
      <c r="X283" s="218"/>
      <c r="Y283" s="218"/>
      <c r="Z283" s="218">
        <v>3008</v>
      </c>
      <c r="AB283" s="58"/>
    </row>
    <row r="284" spans="1:28" s="57" customFormat="1" ht="13.8">
      <c r="A284" s="330" t="s">
        <v>554</v>
      </c>
      <c r="B284" s="54">
        <v>32</v>
      </c>
      <c r="C284" s="54">
        <f>B284*140</f>
        <v>4480</v>
      </c>
      <c r="D284" s="55" t="s">
        <v>25</v>
      </c>
      <c r="E284" s="54">
        <v>0.95</v>
      </c>
      <c r="F284" s="54" t="s">
        <v>576</v>
      </c>
      <c r="G284" s="54">
        <v>67</v>
      </c>
      <c r="H284" s="58" t="s">
        <v>98</v>
      </c>
      <c r="I284" s="54" t="s">
        <v>20</v>
      </c>
      <c r="J284" s="131" t="s">
        <v>556</v>
      </c>
      <c r="K284" s="319"/>
      <c r="L284" s="131" t="s">
        <v>278</v>
      </c>
      <c r="M284" s="131" t="s">
        <v>513</v>
      </c>
      <c r="N284" s="319" t="s">
        <v>15</v>
      </c>
      <c r="O284" s="320" t="s">
        <v>280</v>
      </c>
      <c r="P284" s="85" t="s">
        <v>99</v>
      </c>
      <c r="Q284" s="56"/>
      <c r="R284" s="218"/>
      <c r="S284" s="331"/>
      <c r="T284" s="331">
        <v>2200</v>
      </c>
      <c r="U284" s="331">
        <v>2860</v>
      </c>
      <c r="V284" s="331">
        <v>3145</v>
      </c>
      <c r="W284" s="331"/>
      <c r="X284" s="331"/>
      <c r="Y284" s="331"/>
      <c r="Z284" s="331">
        <v>3037</v>
      </c>
      <c r="AB284" s="58"/>
    </row>
    <row r="285" spans="1:28" s="57" customFormat="1" ht="13.8">
      <c r="A285" s="53" t="s">
        <v>274</v>
      </c>
      <c r="B285" s="54">
        <v>53</v>
      </c>
      <c r="C285" s="54">
        <f t="shared" si="18"/>
        <v>7685</v>
      </c>
      <c r="D285" s="55" t="s">
        <v>25</v>
      </c>
      <c r="E285" s="54">
        <v>0.95</v>
      </c>
      <c r="F285" s="54" t="s">
        <v>575</v>
      </c>
      <c r="G285" s="54">
        <v>67</v>
      </c>
      <c r="H285" s="58" t="s">
        <v>314</v>
      </c>
      <c r="I285" s="54" t="s">
        <v>20</v>
      </c>
      <c r="J285" s="131" t="s">
        <v>393</v>
      </c>
      <c r="K285" s="319"/>
      <c r="L285" s="131" t="s">
        <v>278</v>
      </c>
      <c r="M285" s="131" t="s">
        <v>513</v>
      </c>
      <c r="N285" s="319" t="s">
        <v>15</v>
      </c>
      <c r="O285" s="320" t="s">
        <v>280</v>
      </c>
      <c r="P285" s="85" t="s">
        <v>99</v>
      </c>
      <c r="Q285" s="56"/>
      <c r="R285" s="218"/>
      <c r="S285" s="218"/>
      <c r="T285" s="218">
        <v>3005</v>
      </c>
      <c r="U285" s="218">
        <v>3905</v>
      </c>
      <c r="V285" s="218">
        <v>4295</v>
      </c>
      <c r="W285" s="218"/>
      <c r="X285" s="218"/>
      <c r="Y285" s="218"/>
      <c r="Z285" s="218">
        <v>3009</v>
      </c>
      <c r="AB285" s="58"/>
    </row>
    <row r="286" spans="1:28" s="57" customFormat="1" ht="13.8">
      <c r="A286" s="58" t="s">
        <v>275</v>
      </c>
      <c r="B286" s="54">
        <v>53</v>
      </c>
      <c r="C286" s="54">
        <f t="shared" si="18"/>
        <v>7685</v>
      </c>
      <c r="D286" s="55" t="s">
        <v>25</v>
      </c>
      <c r="E286" s="54">
        <v>0.95</v>
      </c>
      <c r="F286" s="54" t="s">
        <v>574</v>
      </c>
      <c r="G286" s="54">
        <v>67</v>
      </c>
      <c r="H286" s="58" t="s">
        <v>314</v>
      </c>
      <c r="I286" s="54" t="s">
        <v>20</v>
      </c>
      <c r="J286" s="131" t="s">
        <v>393</v>
      </c>
      <c r="K286" s="319"/>
      <c r="L286" s="131" t="s">
        <v>278</v>
      </c>
      <c r="M286" s="131" t="s">
        <v>513</v>
      </c>
      <c r="N286" s="319" t="s">
        <v>15</v>
      </c>
      <c r="O286" s="320" t="s">
        <v>280</v>
      </c>
      <c r="P286" s="85" t="s">
        <v>99</v>
      </c>
      <c r="Q286" s="56"/>
      <c r="R286" s="218"/>
      <c r="S286" s="218"/>
      <c r="T286" s="218">
        <v>3005</v>
      </c>
      <c r="U286" s="218">
        <v>3905</v>
      </c>
      <c r="V286" s="218">
        <v>4295</v>
      </c>
      <c r="W286" s="218"/>
      <c r="X286" s="218"/>
      <c r="Y286" s="218"/>
      <c r="Z286" s="218">
        <v>3010</v>
      </c>
      <c r="AB286" s="58"/>
    </row>
    <row r="287" spans="1:28" s="57" customFormat="1" ht="13.8">
      <c r="A287" s="330" t="s">
        <v>582</v>
      </c>
      <c r="B287" s="54">
        <v>64</v>
      </c>
      <c r="C287" s="54">
        <f>B287*140</f>
        <v>8960</v>
      </c>
      <c r="D287" s="55" t="s">
        <v>25</v>
      </c>
      <c r="E287" s="54">
        <v>0.95</v>
      </c>
      <c r="F287" s="54" t="s">
        <v>576</v>
      </c>
      <c r="G287" s="54">
        <v>67</v>
      </c>
      <c r="H287" s="58" t="s">
        <v>98</v>
      </c>
      <c r="I287" s="54" t="s">
        <v>20</v>
      </c>
      <c r="J287" s="131" t="s">
        <v>557</v>
      </c>
      <c r="K287" s="319"/>
      <c r="L287" s="131" t="s">
        <v>278</v>
      </c>
      <c r="M287" s="131" t="s">
        <v>513</v>
      </c>
      <c r="N287" s="319" t="s">
        <v>15</v>
      </c>
      <c r="O287" s="320" t="s">
        <v>280</v>
      </c>
      <c r="P287" s="85" t="s">
        <v>99</v>
      </c>
      <c r="Q287" s="56"/>
      <c r="R287" s="218"/>
      <c r="S287" s="331"/>
      <c r="T287" s="331">
        <v>3190</v>
      </c>
      <c r="U287" s="331">
        <v>4145</v>
      </c>
      <c r="V287" s="331">
        <v>4560</v>
      </c>
      <c r="W287" s="331"/>
      <c r="X287" s="331"/>
      <c r="Y287" s="331"/>
      <c r="Z287" s="331">
        <v>3038</v>
      </c>
      <c r="AB287" s="58"/>
    </row>
    <row r="288" spans="1:28" s="57" customFormat="1" ht="13.8">
      <c r="A288" s="53" t="s">
        <v>276</v>
      </c>
      <c r="B288" s="54">
        <v>79</v>
      </c>
      <c r="C288" s="54">
        <f t="shared" si="18"/>
        <v>11455</v>
      </c>
      <c r="D288" s="55" t="s">
        <v>25</v>
      </c>
      <c r="E288" s="54">
        <v>0.95</v>
      </c>
      <c r="F288" s="54" t="s">
        <v>575</v>
      </c>
      <c r="G288" s="54">
        <v>67</v>
      </c>
      <c r="H288" s="58" t="s">
        <v>314</v>
      </c>
      <c r="I288" s="54" t="s">
        <v>20</v>
      </c>
      <c r="J288" s="131" t="s">
        <v>400</v>
      </c>
      <c r="K288" s="319"/>
      <c r="L288" s="131" t="s">
        <v>278</v>
      </c>
      <c r="M288" s="131" t="s">
        <v>513</v>
      </c>
      <c r="N288" s="319" t="s">
        <v>15</v>
      </c>
      <c r="O288" s="320" t="s">
        <v>280</v>
      </c>
      <c r="P288" s="85" t="s">
        <v>99</v>
      </c>
      <c r="Q288" s="56"/>
      <c r="R288" s="218"/>
      <c r="S288" s="218"/>
      <c r="T288" s="218">
        <v>4620</v>
      </c>
      <c r="U288" s="218">
        <v>6005</v>
      </c>
      <c r="V288" s="218">
        <v>6605</v>
      </c>
      <c r="W288" s="218"/>
      <c r="X288" s="218"/>
      <c r="Y288" s="218"/>
      <c r="Z288" s="218">
        <v>3011</v>
      </c>
      <c r="AB288" s="58"/>
    </row>
    <row r="289" spans="1:28" s="57" customFormat="1" ht="13.8">
      <c r="A289" s="58" t="s">
        <v>277</v>
      </c>
      <c r="B289" s="54">
        <v>79</v>
      </c>
      <c r="C289" s="54">
        <f t="shared" si="18"/>
        <v>11455</v>
      </c>
      <c r="D289" s="55" t="s">
        <v>25</v>
      </c>
      <c r="E289" s="54">
        <v>0.95</v>
      </c>
      <c r="F289" s="284" t="s">
        <v>574</v>
      </c>
      <c r="G289" s="54">
        <v>67</v>
      </c>
      <c r="H289" s="58" t="s">
        <v>314</v>
      </c>
      <c r="I289" s="54" t="s">
        <v>20</v>
      </c>
      <c r="J289" s="131" t="s">
        <v>400</v>
      </c>
      <c r="K289" s="319"/>
      <c r="L289" s="131" t="s">
        <v>278</v>
      </c>
      <c r="M289" s="131" t="s">
        <v>513</v>
      </c>
      <c r="N289" s="319" t="s">
        <v>15</v>
      </c>
      <c r="O289" s="320" t="s">
        <v>280</v>
      </c>
      <c r="P289" s="85" t="s">
        <v>99</v>
      </c>
      <c r="Q289" s="56"/>
      <c r="R289" s="218"/>
      <c r="S289" s="218"/>
      <c r="T289" s="218">
        <v>4620</v>
      </c>
      <c r="U289" s="218">
        <v>6005</v>
      </c>
      <c r="V289" s="218">
        <v>6605</v>
      </c>
      <c r="W289" s="218"/>
      <c r="X289" s="218"/>
      <c r="Y289" s="218"/>
      <c r="Z289" s="218">
        <v>3012</v>
      </c>
      <c r="AB289" s="58"/>
    </row>
    <row r="290" spans="1:28" s="57" customFormat="1" ht="13.8">
      <c r="A290" s="330" t="s">
        <v>555</v>
      </c>
      <c r="B290" s="54">
        <v>96</v>
      </c>
      <c r="C290" s="54">
        <f>B290*140</f>
        <v>13440</v>
      </c>
      <c r="D290" s="55" t="s">
        <v>25</v>
      </c>
      <c r="E290" s="54">
        <v>0.95</v>
      </c>
      <c r="F290" s="54" t="s">
        <v>576</v>
      </c>
      <c r="G290" s="54">
        <v>67</v>
      </c>
      <c r="H290" s="58" t="s">
        <v>98</v>
      </c>
      <c r="I290" s="54" t="s">
        <v>20</v>
      </c>
      <c r="J290" s="131" t="s">
        <v>558</v>
      </c>
      <c r="K290" s="319"/>
      <c r="L290" s="131" t="s">
        <v>278</v>
      </c>
      <c r="M290" s="131" t="s">
        <v>513</v>
      </c>
      <c r="N290" s="319" t="s">
        <v>15</v>
      </c>
      <c r="O290" s="320" t="s">
        <v>280</v>
      </c>
      <c r="P290" s="85" t="s">
        <v>99</v>
      </c>
      <c r="Q290" s="56"/>
      <c r="R290" s="218"/>
      <c r="S290" s="331"/>
      <c r="T290" s="331">
        <v>4895</v>
      </c>
      <c r="U290" s="331">
        <v>6365</v>
      </c>
      <c r="V290" s="331">
        <v>7000</v>
      </c>
      <c r="W290" s="331"/>
      <c r="X290" s="331"/>
      <c r="Y290" s="331"/>
      <c r="Z290" s="331">
        <v>3039</v>
      </c>
      <c r="AB290" s="58"/>
    </row>
    <row r="291" spans="1:28" s="58" customFormat="1" ht="13.8">
      <c r="A291" s="58" t="s">
        <v>296</v>
      </c>
      <c r="B291" s="54">
        <v>54</v>
      </c>
      <c r="C291" s="54">
        <f t="shared" si="18"/>
        <v>7830</v>
      </c>
      <c r="D291" s="55" t="s">
        <v>25</v>
      </c>
      <c r="E291" s="54">
        <v>0.95</v>
      </c>
      <c r="F291" s="54" t="s">
        <v>575</v>
      </c>
      <c r="G291" s="54">
        <v>67</v>
      </c>
      <c r="H291" s="58" t="s">
        <v>314</v>
      </c>
      <c r="I291" s="54" t="s">
        <v>20</v>
      </c>
      <c r="J291" s="85" t="s">
        <v>387</v>
      </c>
      <c r="K291" s="85"/>
      <c r="L291" s="85" t="s">
        <v>278</v>
      </c>
      <c r="M291" s="131" t="s">
        <v>513</v>
      </c>
      <c r="N291" s="85" t="s">
        <v>15</v>
      </c>
      <c r="O291" s="85" t="s">
        <v>280</v>
      </c>
      <c r="P291" s="85" t="s">
        <v>99</v>
      </c>
      <c r="R291" s="218"/>
      <c r="S291" s="216"/>
      <c r="T291" s="216">
        <v>4045</v>
      </c>
      <c r="U291" s="216">
        <v>5260</v>
      </c>
      <c r="V291" s="216">
        <v>5785</v>
      </c>
      <c r="W291" s="216"/>
      <c r="X291" s="216"/>
      <c r="Y291" s="216"/>
      <c r="Z291" s="216">
        <v>3013</v>
      </c>
    </row>
    <row r="292" spans="1:28" s="58" customFormat="1" ht="13.8">
      <c r="A292" s="58" t="s">
        <v>297</v>
      </c>
      <c r="B292" s="54">
        <v>106</v>
      </c>
      <c r="C292" s="54">
        <f t="shared" si="18"/>
        <v>15370</v>
      </c>
      <c r="D292" s="55" t="s">
        <v>25</v>
      </c>
      <c r="E292" s="54">
        <v>0.95</v>
      </c>
      <c r="F292" s="54" t="s">
        <v>575</v>
      </c>
      <c r="G292" s="54">
        <v>67</v>
      </c>
      <c r="H292" s="58" t="s">
        <v>314</v>
      </c>
      <c r="I292" s="54" t="s">
        <v>20</v>
      </c>
      <c r="J292" s="85" t="s">
        <v>394</v>
      </c>
      <c r="K292" s="85"/>
      <c r="L292" s="85" t="s">
        <v>278</v>
      </c>
      <c r="M292" s="131" t="s">
        <v>513</v>
      </c>
      <c r="N292" s="85" t="s">
        <v>15</v>
      </c>
      <c r="O292" s="85" t="s">
        <v>280</v>
      </c>
      <c r="P292" s="85" t="s">
        <v>99</v>
      </c>
      <c r="R292" s="218"/>
      <c r="S292" s="216"/>
      <c r="T292" s="216">
        <v>6005</v>
      </c>
      <c r="U292" s="216">
        <v>7805</v>
      </c>
      <c r="V292" s="216">
        <v>8585</v>
      </c>
      <c r="W292" s="216"/>
      <c r="X292" s="216"/>
      <c r="Y292" s="216"/>
      <c r="Z292" s="216">
        <v>3014</v>
      </c>
    </row>
    <row r="293" spans="1:28" s="58" customFormat="1" ht="13.8">
      <c r="A293" s="58" t="s">
        <v>298</v>
      </c>
      <c r="B293" s="54">
        <v>158</v>
      </c>
      <c r="C293" s="54">
        <f t="shared" si="18"/>
        <v>22910</v>
      </c>
      <c r="D293" s="55" t="s">
        <v>25</v>
      </c>
      <c r="E293" s="54">
        <v>0.95</v>
      </c>
      <c r="F293" s="54" t="s">
        <v>575</v>
      </c>
      <c r="G293" s="54">
        <v>67</v>
      </c>
      <c r="H293" s="58" t="s">
        <v>314</v>
      </c>
      <c r="I293" s="54" t="s">
        <v>20</v>
      </c>
      <c r="J293" s="85" t="s">
        <v>401</v>
      </c>
      <c r="K293" s="85"/>
      <c r="L293" s="85" t="s">
        <v>278</v>
      </c>
      <c r="M293" s="131" t="s">
        <v>513</v>
      </c>
      <c r="N293" s="85" t="s">
        <v>15</v>
      </c>
      <c r="O293" s="85" t="s">
        <v>280</v>
      </c>
      <c r="P293" s="85" t="s">
        <v>99</v>
      </c>
      <c r="R293" s="218"/>
      <c r="S293" s="216"/>
      <c r="T293" s="216">
        <v>9235</v>
      </c>
      <c r="U293" s="216">
        <v>12005</v>
      </c>
      <c r="V293" s="216">
        <v>13205</v>
      </c>
      <c r="W293" s="216"/>
      <c r="X293" s="216"/>
      <c r="Y293" s="216"/>
      <c r="Z293" s="216">
        <v>3015</v>
      </c>
    </row>
    <row r="294" spans="1:28" s="58" customFormat="1" ht="13.8">
      <c r="A294" s="58" t="s">
        <v>299</v>
      </c>
      <c r="B294" s="54">
        <v>54</v>
      </c>
      <c r="C294" s="54">
        <f t="shared" si="18"/>
        <v>7830</v>
      </c>
      <c r="D294" s="55" t="s">
        <v>25</v>
      </c>
      <c r="E294" s="54">
        <v>0.95</v>
      </c>
      <c r="F294" s="54" t="s">
        <v>574</v>
      </c>
      <c r="G294" s="54">
        <v>67</v>
      </c>
      <c r="H294" s="58" t="s">
        <v>314</v>
      </c>
      <c r="I294" s="54" t="s">
        <v>20</v>
      </c>
      <c r="J294" s="85" t="s">
        <v>387</v>
      </c>
      <c r="K294" s="85"/>
      <c r="L294" s="85" t="s">
        <v>278</v>
      </c>
      <c r="M294" s="131" t="s">
        <v>513</v>
      </c>
      <c r="N294" s="85" t="s">
        <v>15</v>
      </c>
      <c r="O294" s="85" t="s">
        <v>280</v>
      </c>
      <c r="P294" s="85" t="s">
        <v>99</v>
      </c>
      <c r="R294" s="218"/>
      <c r="S294" s="216"/>
      <c r="T294" s="216">
        <v>4045</v>
      </c>
      <c r="U294" s="216">
        <v>5260</v>
      </c>
      <c r="V294" s="216">
        <v>5785</v>
      </c>
      <c r="W294" s="216"/>
      <c r="X294" s="216"/>
      <c r="Y294" s="216"/>
      <c r="Z294" s="216">
        <v>3016</v>
      </c>
    </row>
    <row r="295" spans="1:28" s="58" customFormat="1" ht="13.8">
      <c r="A295" s="58" t="s">
        <v>300</v>
      </c>
      <c r="B295" s="54">
        <v>106</v>
      </c>
      <c r="C295" s="54">
        <f t="shared" si="18"/>
        <v>15370</v>
      </c>
      <c r="D295" s="55" t="s">
        <v>25</v>
      </c>
      <c r="E295" s="54">
        <v>0.95</v>
      </c>
      <c r="F295" s="54" t="s">
        <v>574</v>
      </c>
      <c r="G295" s="54">
        <v>67</v>
      </c>
      <c r="H295" s="58" t="s">
        <v>314</v>
      </c>
      <c r="I295" s="54" t="s">
        <v>20</v>
      </c>
      <c r="J295" s="85" t="s">
        <v>394</v>
      </c>
      <c r="K295" s="85"/>
      <c r="L295" s="85" t="s">
        <v>278</v>
      </c>
      <c r="M295" s="131" t="s">
        <v>513</v>
      </c>
      <c r="N295" s="85" t="s">
        <v>15</v>
      </c>
      <c r="O295" s="85" t="s">
        <v>280</v>
      </c>
      <c r="P295" s="85" t="s">
        <v>99</v>
      </c>
      <c r="R295" s="218"/>
      <c r="S295" s="216"/>
      <c r="T295" s="216">
        <v>6005</v>
      </c>
      <c r="U295" s="216">
        <v>7805</v>
      </c>
      <c r="V295" s="216">
        <v>8585</v>
      </c>
      <c r="W295" s="216"/>
      <c r="X295" s="216"/>
      <c r="Y295" s="216"/>
      <c r="Z295" s="216">
        <v>3017</v>
      </c>
    </row>
    <row r="296" spans="1:28" s="58" customFormat="1" ht="13.8">
      <c r="A296" s="58" t="s">
        <v>301</v>
      </c>
      <c r="B296" s="54">
        <v>158</v>
      </c>
      <c r="C296" s="54">
        <f t="shared" si="18"/>
        <v>22910</v>
      </c>
      <c r="D296" s="55" t="s">
        <v>25</v>
      </c>
      <c r="E296" s="54">
        <v>0.95</v>
      </c>
      <c r="F296" s="54" t="s">
        <v>574</v>
      </c>
      <c r="G296" s="54">
        <v>67</v>
      </c>
      <c r="H296" s="58" t="s">
        <v>314</v>
      </c>
      <c r="I296" s="54" t="s">
        <v>20</v>
      </c>
      <c r="J296" s="85" t="s">
        <v>401</v>
      </c>
      <c r="K296" s="85"/>
      <c r="L296" s="85" t="s">
        <v>278</v>
      </c>
      <c r="M296" s="131" t="s">
        <v>513</v>
      </c>
      <c r="N296" s="85" t="s">
        <v>15</v>
      </c>
      <c r="O296" s="85" t="s">
        <v>280</v>
      </c>
      <c r="P296" s="85" t="s">
        <v>99</v>
      </c>
      <c r="R296" s="218"/>
      <c r="S296" s="216"/>
      <c r="T296" s="216">
        <v>9235</v>
      </c>
      <c r="U296" s="216">
        <v>12005</v>
      </c>
      <c r="V296" s="216">
        <v>13205</v>
      </c>
      <c r="W296" s="216"/>
      <c r="X296" s="216"/>
      <c r="Y296" s="216"/>
      <c r="Z296" s="216">
        <v>3018</v>
      </c>
    </row>
    <row r="297" spans="1:28" s="58" customFormat="1" ht="13.8">
      <c r="A297" s="58" t="s">
        <v>293</v>
      </c>
      <c r="B297" s="54">
        <v>54</v>
      </c>
      <c r="C297" s="54">
        <f t="shared" si="18"/>
        <v>7830</v>
      </c>
      <c r="D297" s="55" t="s">
        <v>25</v>
      </c>
      <c r="E297" s="54">
        <v>0.95</v>
      </c>
      <c r="F297" s="54" t="s">
        <v>575</v>
      </c>
      <c r="G297" s="54">
        <v>67</v>
      </c>
      <c r="H297" s="58" t="s">
        <v>314</v>
      </c>
      <c r="I297" s="54" t="s">
        <v>20</v>
      </c>
      <c r="J297" s="85" t="s">
        <v>390</v>
      </c>
      <c r="K297" s="85"/>
      <c r="L297" s="85" t="s">
        <v>278</v>
      </c>
      <c r="M297" s="131" t="s">
        <v>513</v>
      </c>
      <c r="N297" s="85" t="s">
        <v>15</v>
      </c>
      <c r="O297" s="85" t="s">
        <v>280</v>
      </c>
      <c r="P297" s="85" t="s">
        <v>99</v>
      </c>
      <c r="R297" s="218"/>
      <c r="S297" s="216"/>
      <c r="T297" s="216">
        <v>4045</v>
      </c>
      <c r="U297" s="216">
        <v>5260</v>
      </c>
      <c r="V297" s="216">
        <v>5785</v>
      </c>
      <c r="W297" s="216"/>
      <c r="X297" s="216"/>
      <c r="Y297" s="216"/>
      <c r="Z297" s="216">
        <v>3019</v>
      </c>
    </row>
    <row r="298" spans="1:28" s="58" customFormat="1" ht="13.8">
      <c r="A298" s="58" t="s">
        <v>294</v>
      </c>
      <c r="B298" s="54">
        <v>106</v>
      </c>
      <c r="C298" s="54">
        <f t="shared" si="18"/>
        <v>15370</v>
      </c>
      <c r="D298" s="55" t="s">
        <v>25</v>
      </c>
      <c r="E298" s="54">
        <v>0.95</v>
      </c>
      <c r="F298" s="54" t="s">
        <v>575</v>
      </c>
      <c r="G298" s="54">
        <v>67</v>
      </c>
      <c r="H298" s="58" t="s">
        <v>314</v>
      </c>
      <c r="I298" s="54" t="s">
        <v>20</v>
      </c>
      <c r="J298" s="85" t="s">
        <v>395</v>
      </c>
      <c r="K298" s="85"/>
      <c r="L298" s="85" t="s">
        <v>278</v>
      </c>
      <c r="M298" s="131" t="s">
        <v>513</v>
      </c>
      <c r="N298" s="85" t="s">
        <v>15</v>
      </c>
      <c r="O298" s="85" t="s">
        <v>280</v>
      </c>
      <c r="P298" s="85" t="s">
        <v>99</v>
      </c>
      <c r="R298" s="218"/>
      <c r="S298" s="216"/>
      <c r="T298" s="216">
        <v>6005</v>
      </c>
      <c r="U298" s="216">
        <v>7805</v>
      </c>
      <c r="V298" s="216">
        <v>8585</v>
      </c>
      <c r="W298" s="216"/>
      <c r="X298" s="216"/>
      <c r="Y298" s="216"/>
      <c r="Z298" s="216">
        <v>3020</v>
      </c>
    </row>
    <row r="299" spans="1:28" s="58" customFormat="1" ht="13.8">
      <c r="A299" s="58" t="s">
        <v>295</v>
      </c>
      <c r="B299" s="54">
        <v>158</v>
      </c>
      <c r="C299" s="54">
        <f t="shared" si="18"/>
        <v>22910</v>
      </c>
      <c r="D299" s="55" t="s">
        <v>25</v>
      </c>
      <c r="E299" s="54">
        <v>0.95</v>
      </c>
      <c r="F299" s="54" t="s">
        <v>575</v>
      </c>
      <c r="G299" s="54">
        <v>67</v>
      </c>
      <c r="H299" s="58" t="s">
        <v>314</v>
      </c>
      <c r="I299" s="54" t="s">
        <v>20</v>
      </c>
      <c r="J299" s="85" t="s">
        <v>402</v>
      </c>
      <c r="K299" s="85"/>
      <c r="L299" s="85" t="s">
        <v>278</v>
      </c>
      <c r="M299" s="131" t="s">
        <v>513</v>
      </c>
      <c r="N299" s="85" t="s">
        <v>15</v>
      </c>
      <c r="O299" s="85" t="s">
        <v>280</v>
      </c>
      <c r="P299" s="85" t="s">
        <v>99</v>
      </c>
      <c r="R299" s="218"/>
      <c r="S299" s="216"/>
      <c r="T299" s="216">
        <v>9235</v>
      </c>
      <c r="U299" s="216">
        <v>12005</v>
      </c>
      <c r="V299" s="216">
        <v>13205</v>
      </c>
      <c r="W299" s="216"/>
      <c r="X299" s="216"/>
      <c r="Y299" s="216"/>
      <c r="Z299" s="216">
        <v>3021</v>
      </c>
    </row>
    <row r="300" spans="1:28" s="58" customFormat="1" ht="13.8">
      <c r="A300" s="58" t="s">
        <v>290</v>
      </c>
      <c r="B300" s="54">
        <v>54</v>
      </c>
      <c r="C300" s="54">
        <f t="shared" si="18"/>
        <v>7830</v>
      </c>
      <c r="D300" s="55" t="s">
        <v>25</v>
      </c>
      <c r="E300" s="54">
        <v>0.95</v>
      </c>
      <c r="F300" s="54" t="s">
        <v>574</v>
      </c>
      <c r="G300" s="54">
        <v>67</v>
      </c>
      <c r="H300" s="58" t="s">
        <v>314</v>
      </c>
      <c r="I300" s="54" t="s">
        <v>20</v>
      </c>
      <c r="J300" s="85" t="s">
        <v>390</v>
      </c>
      <c r="K300" s="85"/>
      <c r="L300" s="85" t="s">
        <v>278</v>
      </c>
      <c r="M300" s="131" t="s">
        <v>513</v>
      </c>
      <c r="N300" s="85" t="s">
        <v>15</v>
      </c>
      <c r="O300" s="85" t="s">
        <v>280</v>
      </c>
      <c r="P300" s="85" t="s">
        <v>99</v>
      </c>
      <c r="R300" s="218"/>
      <c r="S300" s="216"/>
      <c r="T300" s="216">
        <v>4045</v>
      </c>
      <c r="U300" s="216">
        <v>5260</v>
      </c>
      <c r="V300" s="216">
        <v>5785</v>
      </c>
      <c r="W300" s="216"/>
      <c r="X300" s="216"/>
      <c r="Y300" s="216"/>
      <c r="Z300" s="216">
        <v>3022</v>
      </c>
    </row>
    <row r="301" spans="1:28" s="58" customFormat="1" ht="13.8">
      <c r="A301" s="58" t="s">
        <v>291</v>
      </c>
      <c r="B301" s="54">
        <v>106</v>
      </c>
      <c r="C301" s="54">
        <f t="shared" si="18"/>
        <v>15370</v>
      </c>
      <c r="D301" s="55" t="s">
        <v>25</v>
      </c>
      <c r="E301" s="54">
        <v>0.95</v>
      </c>
      <c r="F301" s="54" t="s">
        <v>574</v>
      </c>
      <c r="G301" s="54">
        <v>67</v>
      </c>
      <c r="H301" s="58" t="s">
        <v>314</v>
      </c>
      <c r="I301" s="54" t="s">
        <v>20</v>
      </c>
      <c r="J301" s="85" t="s">
        <v>395</v>
      </c>
      <c r="K301" s="85"/>
      <c r="L301" s="85" t="s">
        <v>278</v>
      </c>
      <c r="M301" s="131" t="s">
        <v>513</v>
      </c>
      <c r="N301" s="85" t="s">
        <v>15</v>
      </c>
      <c r="O301" s="85" t="s">
        <v>280</v>
      </c>
      <c r="P301" s="85" t="s">
        <v>99</v>
      </c>
      <c r="R301" s="218"/>
      <c r="S301" s="216"/>
      <c r="T301" s="216">
        <v>6005</v>
      </c>
      <c r="U301" s="216">
        <v>7805</v>
      </c>
      <c r="V301" s="216">
        <v>8585</v>
      </c>
      <c r="W301" s="216"/>
      <c r="X301" s="216"/>
      <c r="Y301" s="216"/>
      <c r="Z301" s="216">
        <v>3023</v>
      </c>
    </row>
    <row r="302" spans="1:28" s="58" customFormat="1" ht="13.8">
      <c r="A302" s="58" t="s">
        <v>292</v>
      </c>
      <c r="B302" s="54">
        <v>158</v>
      </c>
      <c r="C302" s="54">
        <f t="shared" si="18"/>
        <v>22910</v>
      </c>
      <c r="D302" s="55" t="s">
        <v>25</v>
      </c>
      <c r="E302" s="54">
        <v>0.95</v>
      </c>
      <c r="F302" s="54" t="s">
        <v>574</v>
      </c>
      <c r="G302" s="54">
        <v>67</v>
      </c>
      <c r="H302" s="58" t="s">
        <v>314</v>
      </c>
      <c r="I302" s="54" t="s">
        <v>20</v>
      </c>
      <c r="J302" s="85" t="s">
        <v>402</v>
      </c>
      <c r="K302" s="85"/>
      <c r="L302" s="85" t="s">
        <v>278</v>
      </c>
      <c r="M302" s="131" t="s">
        <v>513</v>
      </c>
      <c r="N302" s="85" t="s">
        <v>15</v>
      </c>
      <c r="O302" s="85" t="s">
        <v>280</v>
      </c>
      <c r="P302" s="85" t="s">
        <v>99</v>
      </c>
      <c r="R302" s="218"/>
      <c r="S302" s="216"/>
      <c r="T302" s="216">
        <v>9235</v>
      </c>
      <c r="U302" s="216">
        <v>12005</v>
      </c>
      <c r="V302" s="216">
        <v>13205</v>
      </c>
      <c r="W302" s="216"/>
      <c r="X302" s="216"/>
      <c r="Y302" s="216"/>
      <c r="Z302" s="216">
        <v>3024</v>
      </c>
    </row>
    <row r="303" spans="1:28" s="58" customFormat="1" ht="13.8">
      <c r="A303" s="58" t="s">
        <v>302</v>
      </c>
      <c r="B303" s="54">
        <v>81</v>
      </c>
      <c r="C303" s="54">
        <f t="shared" si="18"/>
        <v>11745</v>
      </c>
      <c r="D303" s="55" t="s">
        <v>25</v>
      </c>
      <c r="E303" s="54">
        <v>0.95</v>
      </c>
      <c r="F303" s="54" t="s">
        <v>575</v>
      </c>
      <c r="G303" s="54">
        <v>67</v>
      </c>
      <c r="H303" s="58" t="s">
        <v>314</v>
      </c>
      <c r="I303" s="54" t="s">
        <v>20</v>
      </c>
      <c r="J303" s="85" t="s">
        <v>388</v>
      </c>
      <c r="K303" s="85"/>
      <c r="L303" s="85" t="s">
        <v>278</v>
      </c>
      <c r="M303" s="131" t="s">
        <v>513</v>
      </c>
      <c r="N303" s="85" t="s">
        <v>15</v>
      </c>
      <c r="O303" s="85" t="s">
        <v>280</v>
      </c>
      <c r="P303" s="85" t="s">
        <v>99</v>
      </c>
      <c r="R303" s="218"/>
      <c r="S303" s="216"/>
      <c r="T303" s="216">
        <v>6060</v>
      </c>
      <c r="U303" s="216">
        <v>7880</v>
      </c>
      <c r="V303" s="216">
        <v>8670</v>
      </c>
      <c r="W303" s="216"/>
      <c r="X303" s="216"/>
      <c r="Y303" s="216"/>
      <c r="Z303" s="216">
        <v>3025</v>
      </c>
    </row>
    <row r="304" spans="1:28" s="58" customFormat="1" ht="13.8">
      <c r="A304" s="58" t="s">
        <v>306</v>
      </c>
      <c r="B304" s="54">
        <v>159</v>
      </c>
      <c r="C304" s="54">
        <f t="shared" si="18"/>
        <v>23055</v>
      </c>
      <c r="D304" s="55" t="s">
        <v>25</v>
      </c>
      <c r="E304" s="54">
        <v>0.95</v>
      </c>
      <c r="F304" s="54" t="s">
        <v>575</v>
      </c>
      <c r="G304" s="54">
        <v>67</v>
      </c>
      <c r="H304" s="58" t="s">
        <v>314</v>
      </c>
      <c r="I304" s="54" t="s">
        <v>20</v>
      </c>
      <c r="J304" s="85" t="s">
        <v>396</v>
      </c>
      <c r="K304" s="85"/>
      <c r="L304" s="85" t="s">
        <v>278</v>
      </c>
      <c r="M304" s="131" t="s">
        <v>513</v>
      </c>
      <c r="N304" s="85" t="s">
        <v>15</v>
      </c>
      <c r="O304" s="85" t="s">
        <v>280</v>
      </c>
      <c r="P304" s="85" t="s">
        <v>99</v>
      </c>
      <c r="R304" s="218"/>
      <c r="S304" s="216"/>
      <c r="T304" s="216">
        <v>9005</v>
      </c>
      <c r="U304" s="216">
        <v>11705</v>
      </c>
      <c r="V304" s="216">
        <v>12875</v>
      </c>
      <c r="W304" s="216"/>
      <c r="X304" s="216"/>
      <c r="Y304" s="216"/>
      <c r="Z304" s="216">
        <v>3026</v>
      </c>
    </row>
    <row r="305" spans="1:26" s="58" customFormat="1" ht="13.8">
      <c r="A305" s="58" t="s">
        <v>310</v>
      </c>
      <c r="B305" s="54">
        <v>237</v>
      </c>
      <c r="C305" s="54">
        <f t="shared" si="18"/>
        <v>34365</v>
      </c>
      <c r="D305" s="55" t="s">
        <v>25</v>
      </c>
      <c r="E305" s="54">
        <v>0.95</v>
      </c>
      <c r="F305" s="54" t="s">
        <v>575</v>
      </c>
      <c r="G305" s="54">
        <v>67</v>
      </c>
      <c r="H305" s="58" t="s">
        <v>314</v>
      </c>
      <c r="I305" s="54" t="s">
        <v>20</v>
      </c>
      <c r="J305" s="85" t="s">
        <v>403</v>
      </c>
      <c r="K305" s="85"/>
      <c r="L305" s="85" t="s">
        <v>278</v>
      </c>
      <c r="M305" s="131" t="s">
        <v>513</v>
      </c>
      <c r="N305" s="85" t="s">
        <v>15</v>
      </c>
      <c r="O305" s="85" t="s">
        <v>280</v>
      </c>
      <c r="P305" s="85" t="s">
        <v>99</v>
      </c>
      <c r="R305" s="218"/>
      <c r="S305" s="216"/>
      <c r="T305" s="216">
        <v>13855</v>
      </c>
      <c r="U305" s="216">
        <v>18010</v>
      </c>
      <c r="V305" s="216">
        <v>19810</v>
      </c>
      <c r="W305" s="216"/>
      <c r="X305" s="216"/>
      <c r="Y305" s="216"/>
      <c r="Z305" s="216">
        <v>3027</v>
      </c>
    </row>
    <row r="306" spans="1:26" s="58" customFormat="1" ht="13.8">
      <c r="A306" s="58" t="s">
        <v>303</v>
      </c>
      <c r="B306" s="54">
        <v>81</v>
      </c>
      <c r="C306" s="54">
        <f t="shared" si="18"/>
        <v>11745</v>
      </c>
      <c r="D306" s="55" t="s">
        <v>25</v>
      </c>
      <c r="E306" s="54">
        <v>0.95</v>
      </c>
      <c r="F306" s="54" t="s">
        <v>574</v>
      </c>
      <c r="G306" s="54">
        <v>67</v>
      </c>
      <c r="H306" s="58" t="s">
        <v>314</v>
      </c>
      <c r="I306" s="54" t="s">
        <v>20</v>
      </c>
      <c r="J306" s="85" t="s">
        <v>388</v>
      </c>
      <c r="K306" s="85"/>
      <c r="L306" s="85" t="s">
        <v>278</v>
      </c>
      <c r="M306" s="131" t="s">
        <v>513</v>
      </c>
      <c r="N306" s="85" t="s">
        <v>15</v>
      </c>
      <c r="O306" s="85" t="s">
        <v>280</v>
      </c>
      <c r="P306" s="85" t="s">
        <v>99</v>
      </c>
      <c r="R306" s="218"/>
      <c r="S306" s="216"/>
      <c r="T306" s="216">
        <v>6060</v>
      </c>
      <c r="U306" s="216">
        <v>7880</v>
      </c>
      <c r="V306" s="216">
        <v>8670</v>
      </c>
      <c r="W306" s="216"/>
      <c r="X306" s="216"/>
      <c r="Y306" s="216"/>
      <c r="Z306" s="216">
        <v>3028</v>
      </c>
    </row>
    <row r="307" spans="1:26" s="58" customFormat="1" ht="13.8">
      <c r="A307" s="58" t="s">
        <v>307</v>
      </c>
      <c r="B307" s="54">
        <v>159</v>
      </c>
      <c r="C307" s="54">
        <f t="shared" si="18"/>
        <v>23055</v>
      </c>
      <c r="D307" s="55" t="s">
        <v>25</v>
      </c>
      <c r="E307" s="54">
        <v>0.95</v>
      </c>
      <c r="F307" s="54" t="s">
        <v>574</v>
      </c>
      <c r="G307" s="54">
        <v>67</v>
      </c>
      <c r="H307" s="58" t="s">
        <v>314</v>
      </c>
      <c r="I307" s="54" t="s">
        <v>20</v>
      </c>
      <c r="J307" s="85" t="s">
        <v>396</v>
      </c>
      <c r="K307" s="85"/>
      <c r="L307" s="85" t="s">
        <v>278</v>
      </c>
      <c r="M307" s="131" t="s">
        <v>513</v>
      </c>
      <c r="N307" s="85" t="s">
        <v>15</v>
      </c>
      <c r="O307" s="85" t="s">
        <v>280</v>
      </c>
      <c r="P307" s="85" t="s">
        <v>99</v>
      </c>
      <c r="R307" s="218"/>
      <c r="S307" s="216"/>
      <c r="T307" s="216">
        <v>9005</v>
      </c>
      <c r="U307" s="216">
        <v>11705</v>
      </c>
      <c r="V307" s="216">
        <v>12875</v>
      </c>
      <c r="W307" s="216"/>
      <c r="X307" s="216"/>
      <c r="Y307" s="216"/>
      <c r="Z307" s="216">
        <v>3029</v>
      </c>
    </row>
    <row r="308" spans="1:26" s="58" customFormat="1" ht="13.8">
      <c r="A308" s="58" t="s">
        <v>311</v>
      </c>
      <c r="B308" s="54">
        <v>237</v>
      </c>
      <c r="C308" s="54">
        <f t="shared" si="18"/>
        <v>34365</v>
      </c>
      <c r="D308" s="55" t="s">
        <v>25</v>
      </c>
      <c r="E308" s="54">
        <v>0.95</v>
      </c>
      <c r="F308" s="54" t="s">
        <v>574</v>
      </c>
      <c r="G308" s="54">
        <v>67</v>
      </c>
      <c r="H308" s="58" t="s">
        <v>314</v>
      </c>
      <c r="I308" s="54" t="s">
        <v>20</v>
      </c>
      <c r="J308" s="85" t="s">
        <v>403</v>
      </c>
      <c r="K308" s="85"/>
      <c r="L308" s="85" t="s">
        <v>278</v>
      </c>
      <c r="M308" s="131" t="s">
        <v>513</v>
      </c>
      <c r="N308" s="85" t="s">
        <v>15</v>
      </c>
      <c r="O308" s="85" t="s">
        <v>280</v>
      </c>
      <c r="P308" s="85" t="s">
        <v>99</v>
      </c>
      <c r="R308" s="218"/>
      <c r="S308" s="216"/>
      <c r="T308" s="216">
        <v>13855</v>
      </c>
      <c r="U308" s="216">
        <v>18010</v>
      </c>
      <c r="V308" s="216">
        <v>19810</v>
      </c>
      <c r="W308" s="216"/>
      <c r="X308" s="216"/>
      <c r="Y308" s="216"/>
      <c r="Z308" s="216">
        <v>3030</v>
      </c>
    </row>
    <row r="309" spans="1:26" s="58" customFormat="1" ht="13.8">
      <c r="A309" s="58" t="s">
        <v>304</v>
      </c>
      <c r="B309" s="54">
        <v>81</v>
      </c>
      <c r="C309" s="54">
        <f t="shared" si="18"/>
        <v>11745</v>
      </c>
      <c r="D309" s="55" t="s">
        <v>25</v>
      </c>
      <c r="E309" s="54">
        <v>0.95</v>
      </c>
      <c r="F309" s="54" t="s">
        <v>575</v>
      </c>
      <c r="G309" s="54">
        <v>67</v>
      </c>
      <c r="H309" s="58" t="s">
        <v>314</v>
      </c>
      <c r="I309" s="54" t="s">
        <v>20</v>
      </c>
      <c r="J309" s="85" t="s">
        <v>391</v>
      </c>
      <c r="K309" s="85"/>
      <c r="L309" s="85" t="s">
        <v>278</v>
      </c>
      <c r="M309" s="131" t="s">
        <v>513</v>
      </c>
      <c r="N309" s="85" t="s">
        <v>15</v>
      </c>
      <c r="O309" s="85" t="s">
        <v>280</v>
      </c>
      <c r="P309" s="85" t="s">
        <v>99</v>
      </c>
      <c r="R309" s="218"/>
      <c r="S309" s="216"/>
      <c r="T309" s="216">
        <v>6060</v>
      </c>
      <c r="U309" s="216">
        <v>7880</v>
      </c>
      <c r="V309" s="216">
        <v>8670</v>
      </c>
      <c r="W309" s="216"/>
      <c r="X309" s="216"/>
      <c r="Y309" s="216"/>
      <c r="Z309" s="216">
        <v>3031</v>
      </c>
    </row>
    <row r="310" spans="1:26" s="58" customFormat="1" ht="13.8">
      <c r="A310" s="58" t="s">
        <v>308</v>
      </c>
      <c r="B310" s="54">
        <v>159</v>
      </c>
      <c r="C310" s="54">
        <f t="shared" si="18"/>
        <v>23055</v>
      </c>
      <c r="D310" s="55" t="s">
        <v>25</v>
      </c>
      <c r="E310" s="54">
        <v>0.95</v>
      </c>
      <c r="F310" s="54" t="s">
        <v>575</v>
      </c>
      <c r="G310" s="54">
        <v>67</v>
      </c>
      <c r="H310" s="58" t="s">
        <v>314</v>
      </c>
      <c r="I310" s="54" t="s">
        <v>20</v>
      </c>
      <c r="J310" s="85" t="s">
        <v>397</v>
      </c>
      <c r="K310" s="85"/>
      <c r="L310" s="85" t="s">
        <v>278</v>
      </c>
      <c r="M310" s="131" t="s">
        <v>513</v>
      </c>
      <c r="N310" s="85" t="s">
        <v>15</v>
      </c>
      <c r="O310" s="85" t="s">
        <v>280</v>
      </c>
      <c r="P310" s="85" t="s">
        <v>99</v>
      </c>
      <c r="R310" s="218"/>
      <c r="S310" s="216"/>
      <c r="T310" s="216">
        <v>9005</v>
      </c>
      <c r="U310" s="216">
        <v>11705</v>
      </c>
      <c r="V310" s="216">
        <v>12875</v>
      </c>
      <c r="W310" s="216"/>
      <c r="X310" s="216"/>
      <c r="Y310" s="216"/>
      <c r="Z310" s="216">
        <v>3032</v>
      </c>
    </row>
    <row r="311" spans="1:26" s="58" customFormat="1" ht="13.8">
      <c r="A311" s="58" t="s">
        <v>312</v>
      </c>
      <c r="B311" s="54">
        <v>237</v>
      </c>
      <c r="C311" s="54">
        <f t="shared" si="18"/>
        <v>34365</v>
      </c>
      <c r="D311" s="55" t="s">
        <v>25</v>
      </c>
      <c r="E311" s="54">
        <v>0.95</v>
      </c>
      <c r="F311" s="54" t="s">
        <v>575</v>
      </c>
      <c r="G311" s="54">
        <v>67</v>
      </c>
      <c r="H311" s="58" t="s">
        <v>314</v>
      </c>
      <c r="I311" s="54" t="s">
        <v>20</v>
      </c>
      <c r="J311" s="85" t="s">
        <v>398</v>
      </c>
      <c r="K311" s="85"/>
      <c r="L311" s="85" t="s">
        <v>278</v>
      </c>
      <c r="M311" s="131" t="s">
        <v>513</v>
      </c>
      <c r="N311" s="85" t="s">
        <v>15</v>
      </c>
      <c r="O311" s="85" t="s">
        <v>280</v>
      </c>
      <c r="P311" s="85" t="s">
        <v>99</v>
      </c>
      <c r="R311" s="218"/>
      <c r="S311" s="216"/>
      <c r="T311" s="216">
        <v>13855</v>
      </c>
      <c r="U311" s="216">
        <v>18010</v>
      </c>
      <c r="V311" s="216">
        <v>19810</v>
      </c>
      <c r="W311" s="216"/>
      <c r="X311" s="216"/>
      <c r="Y311" s="216"/>
      <c r="Z311" s="216">
        <v>3033</v>
      </c>
    </row>
    <row r="312" spans="1:26" s="58" customFormat="1" ht="13.8">
      <c r="A312" s="58" t="s">
        <v>305</v>
      </c>
      <c r="B312" s="54">
        <v>81</v>
      </c>
      <c r="C312" s="54">
        <f t="shared" si="18"/>
        <v>11745</v>
      </c>
      <c r="D312" s="55" t="s">
        <v>25</v>
      </c>
      <c r="E312" s="54">
        <v>0.95</v>
      </c>
      <c r="F312" s="54" t="s">
        <v>574</v>
      </c>
      <c r="G312" s="54">
        <v>67</v>
      </c>
      <c r="H312" s="58" t="s">
        <v>314</v>
      </c>
      <c r="I312" s="54" t="s">
        <v>20</v>
      </c>
      <c r="J312" s="85" t="s">
        <v>391</v>
      </c>
      <c r="K312" s="85"/>
      <c r="L312" s="85" t="s">
        <v>278</v>
      </c>
      <c r="M312" s="131" t="s">
        <v>513</v>
      </c>
      <c r="N312" s="85" t="s">
        <v>15</v>
      </c>
      <c r="O312" s="85" t="s">
        <v>280</v>
      </c>
      <c r="P312" s="85" t="s">
        <v>99</v>
      </c>
      <c r="R312" s="218"/>
      <c r="S312" s="216"/>
      <c r="T312" s="216">
        <v>6060</v>
      </c>
      <c r="U312" s="216">
        <v>7880</v>
      </c>
      <c r="V312" s="216">
        <v>8670</v>
      </c>
      <c r="W312" s="216"/>
      <c r="X312" s="216"/>
      <c r="Y312" s="216"/>
      <c r="Z312" s="216">
        <v>3034</v>
      </c>
    </row>
    <row r="313" spans="1:26" s="58" customFormat="1" ht="13.8">
      <c r="A313" s="58" t="s">
        <v>309</v>
      </c>
      <c r="B313" s="54">
        <v>159</v>
      </c>
      <c r="C313" s="54">
        <f t="shared" si="18"/>
        <v>23055</v>
      </c>
      <c r="D313" s="55" t="s">
        <v>25</v>
      </c>
      <c r="E313" s="54">
        <v>0.95</v>
      </c>
      <c r="F313" s="54" t="s">
        <v>574</v>
      </c>
      <c r="G313" s="54">
        <v>67</v>
      </c>
      <c r="H313" s="58" t="s">
        <v>314</v>
      </c>
      <c r="I313" s="54" t="s">
        <v>20</v>
      </c>
      <c r="J313" s="85" t="s">
        <v>397</v>
      </c>
      <c r="K313" s="85"/>
      <c r="L313" s="85" t="s">
        <v>278</v>
      </c>
      <c r="M313" s="131" t="s">
        <v>513</v>
      </c>
      <c r="N313" s="85" t="s">
        <v>15</v>
      </c>
      <c r="O313" s="85" t="s">
        <v>280</v>
      </c>
      <c r="P313" s="85" t="s">
        <v>99</v>
      </c>
      <c r="R313" s="218"/>
      <c r="S313" s="216"/>
      <c r="T313" s="216">
        <v>9005</v>
      </c>
      <c r="U313" s="216">
        <v>11705</v>
      </c>
      <c r="V313" s="216">
        <v>12875</v>
      </c>
      <c r="W313" s="216"/>
      <c r="X313" s="216"/>
      <c r="Y313" s="216"/>
      <c r="Z313" s="216">
        <v>3035</v>
      </c>
    </row>
    <row r="314" spans="1:26" s="58" customFormat="1" ht="13.8">
      <c r="A314" s="58" t="s">
        <v>313</v>
      </c>
      <c r="B314" s="54">
        <v>237</v>
      </c>
      <c r="C314" s="54">
        <f t="shared" ref="C314" si="19">B314*145</f>
        <v>34365</v>
      </c>
      <c r="D314" s="55" t="s">
        <v>25</v>
      </c>
      <c r="E314" s="54">
        <v>0.95</v>
      </c>
      <c r="F314" s="54" t="s">
        <v>574</v>
      </c>
      <c r="G314" s="54">
        <v>67</v>
      </c>
      <c r="H314" s="58" t="s">
        <v>314</v>
      </c>
      <c r="I314" s="54" t="s">
        <v>20</v>
      </c>
      <c r="J314" s="85" t="s">
        <v>398</v>
      </c>
      <c r="K314" s="85"/>
      <c r="L314" s="85" t="s">
        <v>278</v>
      </c>
      <c r="M314" s="131" t="s">
        <v>513</v>
      </c>
      <c r="N314" s="85" t="s">
        <v>15</v>
      </c>
      <c r="O314" s="85" t="s">
        <v>280</v>
      </c>
      <c r="P314" s="85" t="s">
        <v>99</v>
      </c>
      <c r="R314" s="218"/>
      <c r="S314" s="216"/>
      <c r="T314" s="216">
        <v>13855</v>
      </c>
      <c r="U314" s="216">
        <v>18010</v>
      </c>
      <c r="V314" s="216">
        <v>19810</v>
      </c>
      <c r="W314" s="216"/>
      <c r="X314" s="216"/>
      <c r="Y314" s="216"/>
      <c r="Z314" s="216">
        <v>3036</v>
      </c>
    </row>
    <row r="315" spans="1:26" s="266" customFormat="1" ht="13.8">
      <c r="A315" s="263" t="s">
        <v>520</v>
      </c>
      <c r="B315" s="264">
        <v>55</v>
      </c>
      <c r="C315" s="264">
        <f>B315*135</f>
        <v>7425</v>
      </c>
      <c r="D315" s="290" t="s">
        <v>25</v>
      </c>
      <c r="E315" s="264">
        <v>0.95</v>
      </c>
      <c r="F315" s="264" t="s">
        <v>574</v>
      </c>
      <c r="G315" s="264">
        <v>67</v>
      </c>
      <c r="H315" s="266" t="s">
        <v>314</v>
      </c>
      <c r="I315" s="264" t="s">
        <v>20</v>
      </c>
      <c r="J315" s="321" t="s">
        <v>533</v>
      </c>
      <c r="K315" s="296"/>
      <c r="L315" s="296" t="s">
        <v>278</v>
      </c>
      <c r="M315" s="321" t="s">
        <v>513</v>
      </c>
      <c r="N315" s="296" t="s">
        <v>544</v>
      </c>
      <c r="O315" s="322" t="s">
        <v>18</v>
      </c>
      <c r="P315" s="321" t="s">
        <v>512</v>
      </c>
      <c r="R315" s="265"/>
      <c r="S315" s="334"/>
      <c r="T315" s="334">
        <v>2750</v>
      </c>
      <c r="U315" s="334">
        <v>3575</v>
      </c>
      <c r="V315" s="334">
        <v>3935</v>
      </c>
      <c r="W315" s="334"/>
      <c r="X315" s="334"/>
      <c r="Y315" s="334"/>
      <c r="Z315" s="334">
        <v>9074</v>
      </c>
    </row>
    <row r="316" spans="1:26" s="266" customFormat="1" ht="13.8">
      <c r="A316" s="266" t="s">
        <v>519</v>
      </c>
      <c r="B316" s="264">
        <v>55</v>
      </c>
      <c r="C316" s="264">
        <f>B316*135</f>
        <v>7425</v>
      </c>
      <c r="D316" s="290" t="s">
        <v>25</v>
      </c>
      <c r="E316" s="264">
        <v>0.95</v>
      </c>
      <c r="F316" s="264" t="s">
        <v>574</v>
      </c>
      <c r="G316" s="264">
        <v>67</v>
      </c>
      <c r="H316" s="266" t="s">
        <v>314</v>
      </c>
      <c r="I316" s="264" t="s">
        <v>20</v>
      </c>
      <c r="J316" s="321" t="s">
        <v>538</v>
      </c>
      <c r="K316" s="296"/>
      <c r="L316" s="296" t="s">
        <v>278</v>
      </c>
      <c r="M316" s="321" t="s">
        <v>513</v>
      </c>
      <c r="N316" s="296" t="s">
        <v>544</v>
      </c>
      <c r="O316" s="322" t="s">
        <v>18</v>
      </c>
      <c r="P316" s="321" t="s">
        <v>512</v>
      </c>
      <c r="R316" s="265"/>
      <c r="S316" s="334"/>
      <c r="T316" s="334">
        <v>7425</v>
      </c>
      <c r="U316" s="334">
        <v>9655</v>
      </c>
      <c r="V316" s="334">
        <v>10620</v>
      </c>
      <c r="W316" s="334"/>
      <c r="X316" s="334"/>
      <c r="Y316" s="334"/>
      <c r="Z316" s="334">
        <v>9075</v>
      </c>
    </row>
    <row r="317" spans="1:26" s="146" customFormat="1" ht="13.8">
      <c r="A317" s="146" t="s">
        <v>518</v>
      </c>
      <c r="B317" s="279">
        <v>115</v>
      </c>
      <c r="C317" s="279">
        <f>B317*145</f>
        <v>16675</v>
      </c>
      <c r="D317" s="279" t="s">
        <v>25</v>
      </c>
      <c r="E317" s="285">
        <v>0.95</v>
      </c>
      <c r="F317" s="279" t="s">
        <v>577</v>
      </c>
      <c r="G317" s="279">
        <v>67</v>
      </c>
      <c r="H317" s="146" t="s">
        <v>314</v>
      </c>
      <c r="I317" s="146" t="s">
        <v>20</v>
      </c>
      <c r="J317" s="301" t="s">
        <v>521</v>
      </c>
      <c r="K317" s="297"/>
      <c r="L317" s="297" t="s">
        <v>278</v>
      </c>
      <c r="M317" s="297" t="s">
        <v>513</v>
      </c>
      <c r="N317" s="297" t="s">
        <v>15</v>
      </c>
      <c r="O317" s="297" t="s">
        <v>280</v>
      </c>
      <c r="P317" s="297" t="s">
        <v>99</v>
      </c>
      <c r="R317" s="219"/>
      <c r="S317" s="219"/>
      <c r="T317" s="219">
        <v>7425</v>
      </c>
      <c r="U317" s="219">
        <v>9655</v>
      </c>
      <c r="V317" s="219">
        <v>10620</v>
      </c>
      <c r="W317" s="219"/>
      <c r="X317" s="219"/>
      <c r="Y317" s="219"/>
      <c r="Z317" s="219">
        <v>4002</v>
      </c>
    </row>
    <row r="318" spans="1:26" s="146" customFormat="1" ht="13.8">
      <c r="A318" s="146" t="s">
        <v>349</v>
      </c>
      <c r="B318" s="279">
        <v>145</v>
      </c>
      <c r="C318" s="279">
        <f>B318*145</f>
        <v>21025</v>
      </c>
      <c r="D318" s="279" t="s">
        <v>25</v>
      </c>
      <c r="E318" s="285">
        <v>0.95</v>
      </c>
      <c r="F318" s="279" t="s">
        <v>577</v>
      </c>
      <c r="G318" s="279">
        <v>67</v>
      </c>
      <c r="H318" s="146" t="s">
        <v>314</v>
      </c>
      <c r="I318" s="146" t="s">
        <v>20</v>
      </c>
      <c r="J318" s="301" t="s">
        <v>345</v>
      </c>
      <c r="K318" s="297"/>
      <c r="L318" s="297" t="s">
        <v>278</v>
      </c>
      <c r="M318" s="297" t="s">
        <v>513</v>
      </c>
      <c r="N318" s="297" t="s">
        <v>15</v>
      </c>
      <c r="O318" s="297" t="s">
        <v>280</v>
      </c>
      <c r="P318" s="297" t="s">
        <v>99</v>
      </c>
      <c r="R318" s="219"/>
      <c r="S318" s="219"/>
      <c r="T318" s="219">
        <v>9130</v>
      </c>
      <c r="U318" s="219">
        <v>11870</v>
      </c>
      <c r="V318" s="219">
        <v>13055</v>
      </c>
      <c r="W318" s="219"/>
      <c r="X318" s="219"/>
      <c r="Y318" s="219"/>
      <c r="Z318" s="219">
        <v>4001</v>
      </c>
    </row>
    <row r="319" spans="1:26" s="160" customFormat="1" ht="13.8">
      <c r="A319" s="160" t="s">
        <v>419</v>
      </c>
      <c r="B319" s="291">
        <v>30</v>
      </c>
      <c r="C319" s="291">
        <f>B319*125</f>
        <v>3750</v>
      </c>
      <c r="D319" s="291" t="s">
        <v>25</v>
      </c>
      <c r="E319" s="286">
        <v>0.95</v>
      </c>
      <c r="F319" s="291" t="s">
        <v>346</v>
      </c>
      <c r="G319" s="291">
        <v>67</v>
      </c>
      <c r="H319" s="160" t="s">
        <v>98</v>
      </c>
      <c r="I319" s="160" t="s">
        <v>20</v>
      </c>
      <c r="J319" s="302" t="s">
        <v>365</v>
      </c>
      <c r="K319" s="298"/>
      <c r="L319" s="298" t="s">
        <v>355</v>
      </c>
      <c r="M319" s="298" t="s">
        <v>513</v>
      </c>
      <c r="N319" s="298" t="s">
        <v>15</v>
      </c>
      <c r="O319" s="298" t="s">
        <v>280</v>
      </c>
      <c r="P319" s="298" t="s">
        <v>512</v>
      </c>
      <c r="R319" s="220"/>
      <c r="S319" s="220"/>
      <c r="T319" s="220">
        <v>2950</v>
      </c>
      <c r="U319" s="220">
        <v>3835</v>
      </c>
      <c r="V319" s="220">
        <v>4220</v>
      </c>
      <c r="W319" s="220"/>
      <c r="X319" s="220"/>
      <c r="Y319" s="220"/>
      <c r="Z319" s="220">
        <v>6001</v>
      </c>
    </row>
    <row r="320" spans="1:26" s="160" customFormat="1" ht="13.8">
      <c r="A320" s="160" t="s">
        <v>420</v>
      </c>
      <c r="B320" s="291">
        <v>40</v>
      </c>
      <c r="C320" s="291">
        <f>B320*120</f>
        <v>4800</v>
      </c>
      <c r="D320" s="291" t="s">
        <v>25</v>
      </c>
      <c r="E320" s="286">
        <v>0.95</v>
      </c>
      <c r="F320" s="291" t="s">
        <v>346</v>
      </c>
      <c r="G320" s="291">
        <v>67</v>
      </c>
      <c r="H320" s="160" t="s">
        <v>98</v>
      </c>
      <c r="I320" s="160" t="s">
        <v>20</v>
      </c>
      <c r="J320" s="302" t="s">
        <v>365</v>
      </c>
      <c r="K320" s="298"/>
      <c r="L320" s="298" t="s">
        <v>355</v>
      </c>
      <c r="M320" s="298" t="s">
        <v>513</v>
      </c>
      <c r="N320" s="298" t="s">
        <v>15</v>
      </c>
      <c r="O320" s="298" t="s">
        <v>280</v>
      </c>
      <c r="P320" s="298" t="s">
        <v>512</v>
      </c>
      <c r="R320" s="220"/>
      <c r="S320" s="220"/>
      <c r="T320" s="220">
        <v>3120</v>
      </c>
      <c r="U320" s="220">
        <v>4055</v>
      </c>
      <c r="V320" s="220">
        <v>4460</v>
      </c>
      <c r="W320" s="220"/>
      <c r="X320" s="220"/>
      <c r="Y320" s="220"/>
      <c r="Z320" s="220">
        <v>6002</v>
      </c>
    </row>
    <row r="321" spans="1:26" s="160" customFormat="1" ht="13.8">
      <c r="A321" s="160" t="s">
        <v>421</v>
      </c>
      <c r="B321" s="291">
        <v>50</v>
      </c>
      <c r="C321" s="291">
        <f>B321*115</f>
        <v>5750</v>
      </c>
      <c r="D321" s="291" t="s">
        <v>25</v>
      </c>
      <c r="E321" s="286">
        <v>0.95</v>
      </c>
      <c r="F321" s="291" t="s">
        <v>346</v>
      </c>
      <c r="G321" s="291">
        <v>67</v>
      </c>
      <c r="H321" s="160" t="s">
        <v>98</v>
      </c>
      <c r="I321" s="160" t="s">
        <v>20</v>
      </c>
      <c r="J321" s="302" t="s">
        <v>365</v>
      </c>
      <c r="K321" s="298"/>
      <c r="L321" s="298" t="s">
        <v>355</v>
      </c>
      <c r="M321" s="298" t="s">
        <v>513</v>
      </c>
      <c r="N321" s="298" t="s">
        <v>15</v>
      </c>
      <c r="O321" s="298" t="s">
        <v>280</v>
      </c>
      <c r="P321" s="298" t="s">
        <v>512</v>
      </c>
      <c r="R321" s="220"/>
      <c r="S321" s="220"/>
      <c r="T321" s="220">
        <v>3120</v>
      </c>
      <c r="U321" s="220">
        <v>4055</v>
      </c>
      <c r="V321" s="220">
        <v>4460</v>
      </c>
      <c r="W321" s="220"/>
      <c r="X321" s="220"/>
      <c r="Y321" s="220"/>
      <c r="Z321" s="220">
        <v>6003</v>
      </c>
    </row>
    <row r="322" spans="1:26" s="160" customFormat="1" ht="13.8">
      <c r="A322" s="160" t="s">
        <v>422</v>
      </c>
      <c r="B322" s="291">
        <v>30</v>
      </c>
      <c r="C322" s="291">
        <f>B322*125</f>
        <v>3750</v>
      </c>
      <c r="D322" s="291" t="s">
        <v>25</v>
      </c>
      <c r="E322" s="286">
        <v>0.95</v>
      </c>
      <c r="F322" s="291" t="s">
        <v>346</v>
      </c>
      <c r="G322" s="291">
        <v>67</v>
      </c>
      <c r="H322" s="160" t="s">
        <v>98</v>
      </c>
      <c r="I322" s="160" t="s">
        <v>20</v>
      </c>
      <c r="J322" s="302" t="s">
        <v>365</v>
      </c>
      <c r="K322" s="298"/>
      <c r="L322" s="298" t="s">
        <v>355</v>
      </c>
      <c r="M322" s="298" t="s">
        <v>513</v>
      </c>
      <c r="N322" s="298" t="s">
        <v>15</v>
      </c>
      <c r="O322" s="298" t="s">
        <v>280</v>
      </c>
      <c r="P322" s="298" t="s">
        <v>512</v>
      </c>
      <c r="R322" s="220"/>
      <c r="S322" s="220"/>
      <c r="T322" s="220">
        <v>3285</v>
      </c>
      <c r="U322" s="220">
        <v>4270</v>
      </c>
      <c r="V322" s="220">
        <v>4695</v>
      </c>
      <c r="W322" s="220"/>
      <c r="X322" s="220"/>
      <c r="Y322" s="220"/>
      <c r="Z322" s="220">
        <v>6004</v>
      </c>
    </row>
    <row r="323" spans="1:26" s="160" customFormat="1" ht="13.8">
      <c r="A323" s="160" t="s">
        <v>432</v>
      </c>
      <c r="B323" s="291">
        <v>40</v>
      </c>
      <c r="C323" s="291">
        <f>B323*120</f>
        <v>4800</v>
      </c>
      <c r="D323" s="291" t="s">
        <v>25</v>
      </c>
      <c r="E323" s="286">
        <v>0.95</v>
      </c>
      <c r="F323" s="291" t="s">
        <v>346</v>
      </c>
      <c r="G323" s="291">
        <v>67</v>
      </c>
      <c r="H323" s="160" t="s">
        <v>98</v>
      </c>
      <c r="I323" s="160" t="s">
        <v>20</v>
      </c>
      <c r="J323" s="302" t="s">
        <v>365</v>
      </c>
      <c r="K323" s="298"/>
      <c r="L323" s="298" t="s">
        <v>355</v>
      </c>
      <c r="M323" s="298" t="s">
        <v>513</v>
      </c>
      <c r="N323" s="298" t="s">
        <v>15</v>
      </c>
      <c r="O323" s="298" t="s">
        <v>280</v>
      </c>
      <c r="P323" s="298" t="s">
        <v>512</v>
      </c>
      <c r="R323" s="220"/>
      <c r="S323" s="220"/>
      <c r="T323" s="220">
        <v>3455</v>
      </c>
      <c r="U323" s="220">
        <v>4490</v>
      </c>
      <c r="V323" s="220">
        <v>4940</v>
      </c>
      <c r="W323" s="220"/>
      <c r="X323" s="220"/>
      <c r="Y323" s="220"/>
      <c r="Z323" s="220">
        <v>6005</v>
      </c>
    </row>
    <row r="324" spans="1:26" s="160" customFormat="1" ht="13.8">
      <c r="A324" s="160" t="s">
        <v>433</v>
      </c>
      <c r="B324" s="291">
        <v>50</v>
      </c>
      <c r="C324" s="291">
        <f>B324*115</f>
        <v>5750</v>
      </c>
      <c r="D324" s="291" t="s">
        <v>25</v>
      </c>
      <c r="E324" s="286">
        <v>0.95</v>
      </c>
      <c r="F324" s="291" t="s">
        <v>346</v>
      </c>
      <c r="G324" s="291">
        <v>67</v>
      </c>
      <c r="H324" s="160" t="s">
        <v>98</v>
      </c>
      <c r="I324" s="160" t="s">
        <v>20</v>
      </c>
      <c r="J324" s="302" t="s">
        <v>365</v>
      </c>
      <c r="K324" s="298"/>
      <c r="L324" s="298" t="s">
        <v>355</v>
      </c>
      <c r="M324" s="298" t="s">
        <v>513</v>
      </c>
      <c r="N324" s="298" t="s">
        <v>15</v>
      </c>
      <c r="O324" s="298" t="s">
        <v>280</v>
      </c>
      <c r="P324" s="298" t="s">
        <v>512</v>
      </c>
      <c r="R324" s="220"/>
      <c r="S324" s="220"/>
      <c r="T324" s="220">
        <v>3455</v>
      </c>
      <c r="U324" s="220">
        <v>4490</v>
      </c>
      <c r="V324" s="220">
        <v>4940</v>
      </c>
      <c r="W324" s="220"/>
      <c r="X324" s="220"/>
      <c r="Y324" s="220"/>
      <c r="Z324" s="220">
        <v>6006</v>
      </c>
    </row>
    <row r="325" spans="1:26" s="160" customFormat="1" ht="13.8">
      <c r="A325" s="160" t="s">
        <v>434</v>
      </c>
      <c r="B325" s="291">
        <v>30</v>
      </c>
      <c r="C325" s="291">
        <f>B325*125</f>
        <v>3750</v>
      </c>
      <c r="D325" s="291" t="s">
        <v>25</v>
      </c>
      <c r="E325" s="286">
        <v>0.95</v>
      </c>
      <c r="F325" s="291" t="s">
        <v>346</v>
      </c>
      <c r="G325" s="291">
        <v>67</v>
      </c>
      <c r="H325" s="160" t="s">
        <v>98</v>
      </c>
      <c r="I325" s="160" t="s">
        <v>20</v>
      </c>
      <c r="J325" s="302" t="s">
        <v>366</v>
      </c>
      <c r="K325" s="298"/>
      <c r="L325" s="298" t="s">
        <v>355</v>
      </c>
      <c r="M325" s="298" t="s">
        <v>513</v>
      </c>
      <c r="N325" s="298" t="s">
        <v>15</v>
      </c>
      <c r="O325" s="298" t="s">
        <v>280</v>
      </c>
      <c r="P325" s="298" t="s">
        <v>512</v>
      </c>
      <c r="R325" s="220"/>
      <c r="S325" s="220"/>
      <c r="T325" s="220">
        <v>3665</v>
      </c>
      <c r="U325" s="220">
        <v>4765</v>
      </c>
      <c r="V325" s="220">
        <v>5240</v>
      </c>
      <c r="W325" s="220"/>
      <c r="X325" s="220"/>
      <c r="Y325" s="220"/>
      <c r="Z325" s="220">
        <v>6007</v>
      </c>
    </row>
    <row r="326" spans="1:26" s="160" customFormat="1" ht="13.8">
      <c r="A326" s="160" t="s">
        <v>435</v>
      </c>
      <c r="B326" s="291">
        <v>40</v>
      </c>
      <c r="C326" s="291">
        <f>B326*120</f>
        <v>4800</v>
      </c>
      <c r="D326" s="291" t="s">
        <v>25</v>
      </c>
      <c r="E326" s="286">
        <v>0.95</v>
      </c>
      <c r="F326" s="291" t="s">
        <v>346</v>
      </c>
      <c r="G326" s="291">
        <v>67</v>
      </c>
      <c r="H326" s="160" t="s">
        <v>98</v>
      </c>
      <c r="I326" s="160" t="s">
        <v>20</v>
      </c>
      <c r="J326" s="302" t="s">
        <v>366</v>
      </c>
      <c r="K326" s="298"/>
      <c r="L326" s="298" t="s">
        <v>355</v>
      </c>
      <c r="M326" s="298" t="s">
        <v>513</v>
      </c>
      <c r="N326" s="298" t="s">
        <v>15</v>
      </c>
      <c r="O326" s="298" t="s">
        <v>280</v>
      </c>
      <c r="P326" s="298" t="s">
        <v>512</v>
      </c>
      <c r="R326" s="220"/>
      <c r="S326" s="220"/>
      <c r="T326" s="220">
        <v>3850</v>
      </c>
      <c r="U326" s="220">
        <v>5005</v>
      </c>
      <c r="V326" s="220">
        <v>5505</v>
      </c>
      <c r="W326" s="220"/>
      <c r="X326" s="220"/>
      <c r="Y326" s="220"/>
      <c r="Z326" s="220">
        <v>6008</v>
      </c>
    </row>
    <row r="327" spans="1:26" s="160" customFormat="1" ht="13.8">
      <c r="A327" s="160" t="s">
        <v>436</v>
      </c>
      <c r="B327" s="291">
        <v>50</v>
      </c>
      <c r="C327" s="291">
        <f>B327*115</f>
        <v>5750</v>
      </c>
      <c r="D327" s="291" t="s">
        <v>25</v>
      </c>
      <c r="E327" s="286">
        <v>0.95</v>
      </c>
      <c r="F327" s="291" t="s">
        <v>346</v>
      </c>
      <c r="G327" s="291">
        <v>67</v>
      </c>
      <c r="H327" s="160" t="s">
        <v>98</v>
      </c>
      <c r="I327" s="160" t="s">
        <v>20</v>
      </c>
      <c r="J327" s="302" t="s">
        <v>366</v>
      </c>
      <c r="K327" s="298"/>
      <c r="L327" s="298" t="s">
        <v>355</v>
      </c>
      <c r="M327" s="298" t="s">
        <v>513</v>
      </c>
      <c r="N327" s="298" t="s">
        <v>15</v>
      </c>
      <c r="O327" s="298" t="s">
        <v>280</v>
      </c>
      <c r="P327" s="298" t="s">
        <v>512</v>
      </c>
      <c r="R327" s="220"/>
      <c r="S327" s="220"/>
      <c r="T327" s="220">
        <v>3850</v>
      </c>
      <c r="U327" s="220">
        <v>5005</v>
      </c>
      <c r="V327" s="220">
        <v>5505</v>
      </c>
      <c r="W327" s="220"/>
      <c r="X327" s="220"/>
      <c r="Y327" s="220"/>
      <c r="Z327" s="220">
        <v>6009</v>
      </c>
    </row>
    <row r="328" spans="1:26" s="160" customFormat="1" ht="13.8">
      <c r="A328" s="160" t="s">
        <v>417</v>
      </c>
      <c r="B328" s="291">
        <v>30</v>
      </c>
      <c r="C328" s="291">
        <f>B328*125</f>
        <v>3750</v>
      </c>
      <c r="D328" s="291" t="s">
        <v>25</v>
      </c>
      <c r="E328" s="286">
        <v>0.95</v>
      </c>
      <c r="F328" s="291" t="s">
        <v>346</v>
      </c>
      <c r="G328" s="291">
        <v>67</v>
      </c>
      <c r="H328" s="160" t="s">
        <v>98</v>
      </c>
      <c r="I328" s="160" t="s">
        <v>20</v>
      </c>
      <c r="J328" s="302" t="s">
        <v>365</v>
      </c>
      <c r="K328" s="298"/>
      <c r="L328" s="298" t="s">
        <v>355</v>
      </c>
      <c r="M328" s="298" t="s">
        <v>513</v>
      </c>
      <c r="N328" s="298" t="s">
        <v>15</v>
      </c>
      <c r="O328" s="298" t="s">
        <v>280</v>
      </c>
      <c r="P328" s="298" t="s">
        <v>512</v>
      </c>
      <c r="R328" s="220"/>
      <c r="S328" s="220"/>
      <c r="T328" s="220">
        <v>2950</v>
      </c>
      <c r="U328" s="220">
        <v>3835</v>
      </c>
      <c r="V328" s="220">
        <v>4220</v>
      </c>
      <c r="W328" s="220"/>
      <c r="X328" s="220"/>
      <c r="Y328" s="220"/>
      <c r="Z328" s="220">
        <v>6010</v>
      </c>
    </row>
    <row r="329" spans="1:26" s="160" customFormat="1" ht="13.8">
      <c r="A329" s="160" t="s">
        <v>418</v>
      </c>
      <c r="B329" s="291">
        <v>40</v>
      </c>
      <c r="C329" s="291">
        <f>B329*120</f>
        <v>4800</v>
      </c>
      <c r="D329" s="291" t="s">
        <v>25</v>
      </c>
      <c r="E329" s="286">
        <v>0.95</v>
      </c>
      <c r="F329" s="291" t="s">
        <v>346</v>
      </c>
      <c r="G329" s="291">
        <v>67</v>
      </c>
      <c r="H329" s="160" t="s">
        <v>98</v>
      </c>
      <c r="I329" s="160" t="s">
        <v>20</v>
      </c>
      <c r="J329" s="302" t="s">
        <v>365</v>
      </c>
      <c r="K329" s="298"/>
      <c r="L329" s="298" t="s">
        <v>355</v>
      </c>
      <c r="M329" s="298" t="s">
        <v>513</v>
      </c>
      <c r="N329" s="298" t="s">
        <v>15</v>
      </c>
      <c r="O329" s="298" t="s">
        <v>280</v>
      </c>
      <c r="P329" s="298" t="s">
        <v>512</v>
      </c>
      <c r="R329" s="220"/>
      <c r="S329" s="220"/>
      <c r="T329" s="220">
        <v>3120</v>
      </c>
      <c r="U329" s="220">
        <v>4055</v>
      </c>
      <c r="V329" s="220">
        <v>4460</v>
      </c>
      <c r="W329" s="220"/>
      <c r="X329" s="220"/>
      <c r="Y329" s="220"/>
      <c r="Z329" s="220">
        <v>6011</v>
      </c>
    </row>
    <row r="330" spans="1:26" s="160" customFormat="1" ht="13.8">
      <c r="A330" s="160" t="s">
        <v>437</v>
      </c>
      <c r="B330" s="291">
        <v>50</v>
      </c>
      <c r="C330" s="291">
        <f>B330*115</f>
        <v>5750</v>
      </c>
      <c r="D330" s="291" t="s">
        <v>25</v>
      </c>
      <c r="E330" s="286">
        <v>0.95</v>
      </c>
      <c r="F330" s="291" t="s">
        <v>346</v>
      </c>
      <c r="G330" s="291">
        <v>67</v>
      </c>
      <c r="H330" s="160" t="s">
        <v>98</v>
      </c>
      <c r="I330" s="160" t="s">
        <v>20</v>
      </c>
      <c r="J330" s="302" t="s">
        <v>365</v>
      </c>
      <c r="K330" s="298"/>
      <c r="L330" s="298" t="s">
        <v>355</v>
      </c>
      <c r="M330" s="298" t="s">
        <v>513</v>
      </c>
      <c r="N330" s="298" t="s">
        <v>15</v>
      </c>
      <c r="O330" s="298" t="s">
        <v>280</v>
      </c>
      <c r="P330" s="298" t="s">
        <v>512</v>
      </c>
      <c r="R330" s="220"/>
      <c r="S330" s="220"/>
      <c r="T330" s="220">
        <v>3120</v>
      </c>
      <c r="U330" s="220">
        <v>4055</v>
      </c>
      <c r="V330" s="220">
        <v>4460</v>
      </c>
      <c r="W330" s="220"/>
      <c r="X330" s="220"/>
      <c r="Y330" s="220"/>
      <c r="Z330" s="220">
        <v>6012</v>
      </c>
    </row>
    <row r="331" spans="1:26" s="160" customFormat="1" ht="13.8">
      <c r="A331" s="160" t="s">
        <v>438</v>
      </c>
      <c r="B331" s="291">
        <v>30</v>
      </c>
      <c r="C331" s="291">
        <f>B331*125</f>
        <v>3750</v>
      </c>
      <c r="D331" s="291" t="s">
        <v>25</v>
      </c>
      <c r="E331" s="286">
        <v>0.95</v>
      </c>
      <c r="F331" s="291" t="s">
        <v>346</v>
      </c>
      <c r="G331" s="291">
        <v>67</v>
      </c>
      <c r="H331" s="160" t="s">
        <v>98</v>
      </c>
      <c r="I331" s="160" t="s">
        <v>20</v>
      </c>
      <c r="J331" s="302" t="s">
        <v>365</v>
      </c>
      <c r="K331" s="298"/>
      <c r="L331" s="298" t="s">
        <v>355</v>
      </c>
      <c r="M331" s="298" t="s">
        <v>513</v>
      </c>
      <c r="N331" s="298" t="s">
        <v>15</v>
      </c>
      <c r="O331" s="298" t="s">
        <v>280</v>
      </c>
      <c r="P331" s="298" t="s">
        <v>512</v>
      </c>
      <c r="R331" s="220"/>
      <c r="S331" s="220"/>
      <c r="T331" s="220">
        <v>3285</v>
      </c>
      <c r="U331" s="220">
        <v>4270</v>
      </c>
      <c r="V331" s="220">
        <v>4695</v>
      </c>
      <c r="W331" s="220"/>
      <c r="X331" s="220"/>
      <c r="Y331" s="220"/>
      <c r="Z331" s="220">
        <v>6013</v>
      </c>
    </row>
    <row r="332" spans="1:26" s="160" customFormat="1" ht="13.8">
      <c r="A332" s="160" t="s">
        <v>439</v>
      </c>
      <c r="B332" s="291">
        <v>40</v>
      </c>
      <c r="C332" s="291">
        <f>B332*120</f>
        <v>4800</v>
      </c>
      <c r="D332" s="291" t="s">
        <v>25</v>
      </c>
      <c r="E332" s="286">
        <v>0.95</v>
      </c>
      <c r="F332" s="291" t="s">
        <v>346</v>
      </c>
      <c r="G332" s="291">
        <v>67</v>
      </c>
      <c r="H332" s="160" t="s">
        <v>98</v>
      </c>
      <c r="I332" s="160" t="s">
        <v>20</v>
      </c>
      <c r="J332" s="302" t="s">
        <v>365</v>
      </c>
      <c r="K332" s="298"/>
      <c r="L332" s="298" t="s">
        <v>355</v>
      </c>
      <c r="M332" s="298" t="s">
        <v>513</v>
      </c>
      <c r="N332" s="298" t="s">
        <v>15</v>
      </c>
      <c r="O332" s="298" t="s">
        <v>280</v>
      </c>
      <c r="P332" s="298" t="s">
        <v>512</v>
      </c>
      <c r="R332" s="220"/>
      <c r="S332" s="220"/>
      <c r="T332" s="220">
        <v>3455</v>
      </c>
      <c r="U332" s="220">
        <v>4490</v>
      </c>
      <c r="V332" s="220">
        <v>4940</v>
      </c>
      <c r="W332" s="220"/>
      <c r="X332" s="220"/>
      <c r="Y332" s="220"/>
      <c r="Z332" s="220">
        <v>6014</v>
      </c>
    </row>
    <row r="333" spans="1:26" s="160" customFormat="1" ht="13.8">
      <c r="A333" s="160" t="s">
        <v>440</v>
      </c>
      <c r="B333" s="291">
        <v>50</v>
      </c>
      <c r="C333" s="291">
        <f>B333*115</f>
        <v>5750</v>
      </c>
      <c r="D333" s="291" t="s">
        <v>25</v>
      </c>
      <c r="E333" s="286">
        <v>0.95</v>
      </c>
      <c r="F333" s="291" t="s">
        <v>346</v>
      </c>
      <c r="G333" s="291">
        <v>67</v>
      </c>
      <c r="H333" s="160" t="s">
        <v>98</v>
      </c>
      <c r="I333" s="160" t="s">
        <v>20</v>
      </c>
      <c r="J333" s="302" t="s">
        <v>365</v>
      </c>
      <c r="K333" s="298"/>
      <c r="L333" s="298" t="s">
        <v>355</v>
      </c>
      <c r="M333" s="298" t="s">
        <v>513</v>
      </c>
      <c r="N333" s="298" t="s">
        <v>15</v>
      </c>
      <c r="O333" s="298" t="s">
        <v>280</v>
      </c>
      <c r="P333" s="298" t="s">
        <v>512</v>
      </c>
      <c r="R333" s="220"/>
      <c r="S333" s="220"/>
      <c r="T333" s="220">
        <v>3455</v>
      </c>
      <c r="U333" s="220">
        <v>4490</v>
      </c>
      <c r="V333" s="220">
        <v>4940</v>
      </c>
      <c r="W333" s="220"/>
      <c r="X333" s="220"/>
      <c r="Y333" s="220"/>
      <c r="Z333" s="220">
        <v>6015</v>
      </c>
    </row>
    <row r="334" spans="1:26" s="160" customFormat="1" ht="13.8">
      <c r="A334" s="160" t="s">
        <v>441</v>
      </c>
      <c r="B334" s="291">
        <v>30</v>
      </c>
      <c r="C334" s="291">
        <f>B334*125</f>
        <v>3750</v>
      </c>
      <c r="D334" s="291" t="s">
        <v>25</v>
      </c>
      <c r="E334" s="286">
        <v>0.95</v>
      </c>
      <c r="F334" s="291" t="s">
        <v>346</v>
      </c>
      <c r="G334" s="291">
        <v>67</v>
      </c>
      <c r="H334" s="160" t="s">
        <v>98</v>
      </c>
      <c r="I334" s="160" t="s">
        <v>20</v>
      </c>
      <c r="J334" s="302" t="s">
        <v>366</v>
      </c>
      <c r="K334" s="298"/>
      <c r="L334" s="298" t="s">
        <v>355</v>
      </c>
      <c r="M334" s="298" t="s">
        <v>513</v>
      </c>
      <c r="N334" s="298" t="s">
        <v>15</v>
      </c>
      <c r="O334" s="298" t="s">
        <v>280</v>
      </c>
      <c r="P334" s="298" t="s">
        <v>512</v>
      </c>
      <c r="R334" s="220"/>
      <c r="S334" s="220"/>
      <c r="T334" s="220">
        <v>3665</v>
      </c>
      <c r="U334" s="220">
        <v>4765</v>
      </c>
      <c r="V334" s="220">
        <v>5240</v>
      </c>
      <c r="W334" s="220"/>
      <c r="X334" s="220"/>
      <c r="Y334" s="220"/>
      <c r="Z334" s="220">
        <v>6016</v>
      </c>
    </row>
    <row r="335" spans="1:26" s="160" customFormat="1" ht="13.8">
      <c r="A335" s="160" t="s">
        <v>442</v>
      </c>
      <c r="B335" s="291">
        <v>40</v>
      </c>
      <c r="C335" s="291">
        <f>B335*120</f>
        <v>4800</v>
      </c>
      <c r="D335" s="291" t="s">
        <v>25</v>
      </c>
      <c r="E335" s="286">
        <v>0.95</v>
      </c>
      <c r="F335" s="291" t="s">
        <v>346</v>
      </c>
      <c r="G335" s="291">
        <v>67</v>
      </c>
      <c r="H335" s="160" t="s">
        <v>98</v>
      </c>
      <c r="I335" s="160" t="s">
        <v>20</v>
      </c>
      <c r="J335" s="302" t="s">
        <v>366</v>
      </c>
      <c r="K335" s="298"/>
      <c r="L335" s="298" t="s">
        <v>355</v>
      </c>
      <c r="M335" s="298" t="s">
        <v>513</v>
      </c>
      <c r="N335" s="298" t="s">
        <v>15</v>
      </c>
      <c r="O335" s="298" t="s">
        <v>280</v>
      </c>
      <c r="P335" s="298" t="s">
        <v>512</v>
      </c>
      <c r="R335" s="220"/>
      <c r="S335" s="220"/>
      <c r="T335" s="220">
        <v>3850</v>
      </c>
      <c r="U335" s="220">
        <v>5005</v>
      </c>
      <c r="V335" s="220">
        <v>5505</v>
      </c>
      <c r="W335" s="220"/>
      <c r="X335" s="220"/>
      <c r="Y335" s="220"/>
      <c r="Z335" s="220">
        <v>6017</v>
      </c>
    </row>
    <row r="336" spans="1:26" s="160" customFormat="1" ht="13.8">
      <c r="A336" s="160" t="s">
        <v>443</v>
      </c>
      <c r="B336" s="291">
        <v>50</v>
      </c>
      <c r="C336" s="291">
        <f>B336*115</f>
        <v>5750</v>
      </c>
      <c r="D336" s="291" t="s">
        <v>25</v>
      </c>
      <c r="E336" s="286">
        <v>0.95</v>
      </c>
      <c r="F336" s="291" t="s">
        <v>346</v>
      </c>
      <c r="G336" s="291">
        <v>67</v>
      </c>
      <c r="H336" s="160" t="s">
        <v>98</v>
      </c>
      <c r="I336" s="160" t="s">
        <v>20</v>
      </c>
      <c r="J336" s="302" t="s">
        <v>366</v>
      </c>
      <c r="K336" s="298"/>
      <c r="L336" s="298" t="s">
        <v>355</v>
      </c>
      <c r="M336" s="298" t="s">
        <v>513</v>
      </c>
      <c r="N336" s="298" t="s">
        <v>15</v>
      </c>
      <c r="O336" s="298" t="s">
        <v>280</v>
      </c>
      <c r="P336" s="298" t="s">
        <v>512</v>
      </c>
      <c r="R336" s="220"/>
      <c r="S336" s="220"/>
      <c r="T336" s="220">
        <v>3850</v>
      </c>
      <c r="U336" s="220">
        <v>5005</v>
      </c>
      <c r="V336" s="220">
        <v>5505</v>
      </c>
      <c r="W336" s="220"/>
      <c r="X336" s="220"/>
      <c r="Y336" s="220"/>
      <c r="Z336" s="220">
        <v>6018</v>
      </c>
    </row>
    <row r="337" spans="1:27" s="160" customFormat="1" ht="13.8">
      <c r="A337" s="160" t="s">
        <v>423</v>
      </c>
      <c r="B337" s="291">
        <v>30</v>
      </c>
      <c r="C337" s="291">
        <f>B337*125</f>
        <v>3750</v>
      </c>
      <c r="D337" s="291" t="s">
        <v>25</v>
      </c>
      <c r="E337" s="286">
        <v>0.95</v>
      </c>
      <c r="F337" s="291" t="s">
        <v>346</v>
      </c>
      <c r="G337" s="291">
        <v>67</v>
      </c>
      <c r="H337" s="160" t="s">
        <v>98</v>
      </c>
      <c r="I337" s="160" t="s">
        <v>20</v>
      </c>
      <c r="J337" s="302" t="s">
        <v>365</v>
      </c>
      <c r="K337" s="298"/>
      <c r="L337" s="298" t="s">
        <v>355</v>
      </c>
      <c r="M337" s="298" t="s">
        <v>513</v>
      </c>
      <c r="N337" s="298" t="s">
        <v>15</v>
      </c>
      <c r="O337" s="298" t="s">
        <v>280</v>
      </c>
      <c r="P337" s="298" t="s">
        <v>512</v>
      </c>
      <c r="R337" s="220"/>
      <c r="S337" s="220"/>
      <c r="T337" s="220">
        <v>2950</v>
      </c>
      <c r="U337" s="220">
        <v>3835</v>
      </c>
      <c r="V337" s="220">
        <v>4220</v>
      </c>
      <c r="W337" s="220"/>
      <c r="X337" s="220"/>
      <c r="Y337" s="220"/>
      <c r="Z337" s="220">
        <v>6019</v>
      </c>
    </row>
    <row r="338" spans="1:27" s="160" customFormat="1" ht="13.8">
      <c r="A338" s="160" t="s">
        <v>424</v>
      </c>
      <c r="B338" s="291">
        <v>40</v>
      </c>
      <c r="C338" s="291">
        <f>B338*120</f>
        <v>4800</v>
      </c>
      <c r="D338" s="291" t="s">
        <v>25</v>
      </c>
      <c r="E338" s="286">
        <v>0.95</v>
      </c>
      <c r="F338" s="291" t="s">
        <v>346</v>
      </c>
      <c r="G338" s="291">
        <v>67</v>
      </c>
      <c r="H338" s="160" t="s">
        <v>98</v>
      </c>
      <c r="I338" s="160" t="s">
        <v>20</v>
      </c>
      <c r="J338" s="302" t="s">
        <v>365</v>
      </c>
      <c r="K338" s="298"/>
      <c r="L338" s="298" t="s">
        <v>355</v>
      </c>
      <c r="M338" s="298" t="s">
        <v>513</v>
      </c>
      <c r="N338" s="298" t="s">
        <v>15</v>
      </c>
      <c r="O338" s="298" t="s">
        <v>280</v>
      </c>
      <c r="P338" s="298" t="s">
        <v>512</v>
      </c>
      <c r="R338" s="220"/>
      <c r="S338" s="220"/>
      <c r="T338" s="220">
        <v>3120</v>
      </c>
      <c r="U338" s="220">
        <v>4055</v>
      </c>
      <c r="V338" s="220">
        <v>4460</v>
      </c>
      <c r="W338" s="220"/>
      <c r="X338" s="220"/>
      <c r="Y338" s="220"/>
      <c r="Z338" s="220">
        <v>6020</v>
      </c>
    </row>
    <row r="339" spans="1:27" s="160" customFormat="1" ht="13.8">
      <c r="A339" s="160" t="s">
        <v>425</v>
      </c>
      <c r="B339" s="291">
        <v>50</v>
      </c>
      <c r="C339" s="291">
        <f>B339*115</f>
        <v>5750</v>
      </c>
      <c r="D339" s="291" t="s">
        <v>25</v>
      </c>
      <c r="E339" s="286">
        <v>0.95</v>
      </c>
      <c r="F339" s="291" t="s">
        <v>346</v>
      </c>
      <c r="G339" s="291">
        <v>67</v>
      </c>
      <c r="H339" s="160" t="s">
        <v>98</v>
      </c>
      <c r="I339" s="160" t="s">
        <v>20</v>
      </c>
      <c r="J339" s="302" t="s">
        <v>365</v>
      </c>
      <c r="K339" s="298"/>
      <c r="L339" s="298" t="s">
        <v>355</v>
      </c>
      <c r="M339" s="298" t="s">
        <v>513</v>
      </c>
      <c r="N339" s="298" t="s">
        <v>15</v>
      </c>
      <c r="O339" s="298" t="s">
        <v>280</v>
      </c>
      <c r="P339" s="298" t="s">
        <v>512</v>
      </c>
      <c r="R339" s="220"/>
      <c r="S339" s="220"/>
      <c r="T339" s="220">
        <v>3120</v>
      </c>
      <c r="U339" s="220">
        <v>4055</v>
      </c>
      <c r="V339" s="220">
        <v>4460</v>
      </c>
      <c r="W339" s="220"/>
      <c r="X339" s="220"/>
      <c r="Y339" s="220"/>
      <c r="Z339" s="220">
        <v>6021</v>
      </c>
    </row>
    <row r="340" spans="1:27" s="160" customFormat="1" ht="13.8">
      <c r="A340" s="160" t="s">
        <v>426</v>
      </c>
      <c r="B340" s="291">
        <v>30</v>
      </c>
      <c r="C340" s="291">
        <f>B340*125</f>
        <v>3750</v>
      </c>
      <c r="D340" s="291" t="s">
        <v>25</v>
      </c>
      <c r="E340" s="286">
        <v>0.95</v>
      </c>
      <c r="F340" s="291" t="s">
        <v>346</v>
      </c>
      <c r="G340" s="291">
        <v>67</v>
      </c>
      <c r="H340" s="160" t="s">
        <v>98</v>
      </c>
      <c r="I340" s="160" t="s">
        <v>20</v>
      </c>
      <c r="J340" s="302" t="s">
        <v>365</v>
      </c>
      <c r="K340" s="298"/>
      <c r="L340" s="298" t="s">
        <v>355</v>
      </c>
      <c r="M340" s="298" t="s">
        <v>513</v>
      </c>
      <c r="N340" s="298" t="s">
        <v>15</v>
      </c>
      <c r="O340" s="298" t="s">
        <v>280</v>
      </c>
      <c r="P340" s="298" t="s">
        <v>512</v>
      </c>
      <c r="R340" s="220"/>
      <c r="S340" s="220"/>
      <c r="T340" s="220">
        <v>3285</v>
      </c>
      <c r="U340" s="220">
        <v>4270</v>
      </c>
      <c r="V340" s="220">
        <v>4695</v>
      </c>
      <c r="W340" s="220"/>
      <c r="X340" s="220"/>
      <c r="Y340" s="220"/>
      <c r="Z340" s="220">
        <v>6022</v>
      </c>
    </row>
    <row r="341" spans="1:27" s="160" customFormat="1" ht="13.8">
      <c r="A341" s="160" t="s">
        <v>427</v>
      </c>
      <c r="B341" s="291">
        <v>40</v>
      </c>
      <c r="C341" s="291">
        <f>B341*120</f>
        <v>4800</v>
      </c>
      <c r="D341" s="291" t="s">
        <v>25</v>
      </c>
      <c r="E341" s="286">
        <v>0.95</v>
      </c>
      <c r="F341" s="291" t="s">
        <v>346</v>
      </c>
      <c r="G341" s="291">
        <v>67</v>
      </c>
      <c r="H341" s="160" t="s">
        <v>98</v>
      </c>
      <c r="I341" s="160" t="s">
        <v>20</v>
      </c>
      <c r="J341" s="302" t="s">
        <v>365</v>
      </c>
      <c r="K341" s="298"/>
      <c r="L341" s="298" t="s">
        <v>355</v>
      </c>
      <c r="M341" s="298" t="s">
        <v>513</v>
      </c>
      <c r="N341" s="298" t="s">
        <v>15</v>
      </c>
      <c r="O341" s="298" t="s">
        <v>280</v>
      </c>
      <c r="P341" s="298" t="s">
        <v>512</v>
      </c>
      <c r="R341" s="220"/>
      <c r="S341" s="220"/>
      <c r="T341" s="220">
        <v>3455</v>
      </c>
      <c r="U341" s="220">
        <v>4490</v>
      </c>
      <c r="V341" s="220">
        <v>4940</v>
      </c>
      <c r="W341" s="220"/>
      <c r="X341" s="220"/>
      <c r="Y341" s="220"/>
      <c r="Z341" s="220">
        <v>6023</v>
      </c>
    </row>
    <row r="342" spans="1:27" s="160" customFormat="1" ht="13.8">
      <c r="A342" s="160" t="s">
        <v>428</v>
      </c>
      <c r="B342" s="291">
        <v>50</v>
      </c>
      <c r="C342" s="291">
        <f>B342*115</f>
        <v>5750</v>
      </c>
      <c r="D342" s="291" t="s">
        <v>25</v>
      </c>
      <c r="E342" s="286">
        <v>0.95</v>
      </c>
      <c r="F342" s="291" t="s">
        <v>346</v>
      </c>
      <c r="G342" s="291">
        <v>67</v>
      </c>
      <c r="H342" s="160" t="s">
        <v>98</v>
      </c>
      <c r="I342" s="160" t="s">
        <v>20</v>
      </c>
      <c r="J342" s="302" t="s">
        <v>365</v>
      </c>
      <c r="K342" s="298"/>
      <c r="L342" s="298" t="s">
        <v>355</v>
      </c>
      <c r="M342" s="298" t="s">
        <v>513</v>
      </c>
      <c r="N342" s="298" t="s">
        <v>15</v>
      </c>
      <c r="O342" s="298" t="s">
        <v>280</v>
      </c>
      <c r="P342" s="298" t="s">
        <v>512</v>
      </c>
      <c r="R342" s="220"/>
      <c r="S342" s="220"/>
      <c r="T342" s="220">
        <v>3455</v>
      </c>
      <c r="U342" s="220">
        <v>4490</v>
      </c>
      <c r="V342" s="220">
        <v>4940</v>
      </c>
      <c r="W342" s="220"/>
      <c r="X342" s="220"/>
      <c r="Y342" s="220"/>
      <c r="Z342" s="220">
        <v>6024</v>
      </c>
    </row>
    <row r="343" spans="1:27" s="160" customFormat="1" ht="13.8">
      <c r="A343" s="160" t="s">
        <v>429</v>
      </c>
      <c r="B343" s="291">
        <v>30</v>
      </c>
      <c r="C343" s="291">
        <f>B343*125</f>
        <v>3750</v>
      </c>
      <c r="D343" s="291" t="s">
        <v>25</v>
      </c>
      <c r="E343" s="286">
        <v>0.95</v>
      </c>
      <c r="F343" s="291" t="s">
        <v>346</v>
      </c>
      <c r="G343" s="291">
        <v>67</v>
      </c>
      <c r="H343" s="160" t="s">
        <v>98</v>
      </c>
      <c r="I343" s="160" t="s">
        <v>20</v>
      </c>
      <c r="J343" s="302" t="s">
        <v>366</v>
      </c>
      <c r="K343" s="298"/>
      <c r="L343" s="298" t="s">
        <v>355</v>
      </c>
      <c r="M343" s="298" t="s">
        <v>513</v>
      </c>
      <c r="N343" s="298" t="s">
        <v>15</v>
      </c>
      <c r="O343" s="298" t="s">
        <v>280</v>
      </c>
      <c r="P343" s="298" t="s">
        <v>512</v>
      </c>
      <c r="R343" s="220"/>
      <c r="S343" s="220"/>
      <c r="T343" s="220">
        <v>3665</v>
      </c>
      <c r="U343" s="220">
        <v>4765</v>
      </c>
      <c r="V343" s="220">
        <v>5240</v>
      </c>
      <c r="W343" s="220"/>
      <c r="X343" s="220"/>
      <c r="Y343" s="220"/>
      <c r="Z343" s="220">
        <v>6025</v>
      </c>
    </row>
    <row r="344" spans="1:27" s="160" customFormat="1" ht="13.8">
      <c r="A344" s="160" t="s">
        <v>430</v>
      </c>
      <c r="B344" s="291">
        <v>40</v>
      </c>
      <c r="C344" s="291">
        <f>B344*120</f>
        <v>4800</v>
      </c>
      <c r="D344" s="291" t="s">
        <v>25</v>
      </c>
      <c r="E344" s="286">
        <v>0.95</v>
      </c>
      <c r="F344" s="291" t="s">
        <v>346</v>
      </c>
      <c r="G344" s="291">
        <v>67</v>
      </c>
      <c r="H344" s="160" t="s">
        <v>98</v>
      </c>
      <c r="I344" s="160" t="s">
        <v>20</v>
      </c>
      <c r="J344" s="302" t="s">
        <v>366</v>
      </c>
      <c r="K344" s="298"/>
      <c r="L344" s="298" t="s">
        <v>355</v>
      </c>
      <c r="M344" s="298" t="s">
        <v>513</v>
      </c>
      <c r="N344" s="298" t="s">
        <v>15</v>
      </c>
      <c r="O344" s="298" t="s">
        <v>280</v>
      </c>
      <c r="P344" s="298" t="s">
        <v>512</v>
      </c>
      <c r="R344" s="220"/>
      <c r="S344" s="220"/>
      <c r="T344" s="220">
        <v>3850</v>
      </c>
      <c r="U344" s="220">
        <v>5005</v>
      </c>
      <c r="V344" s="220">
        <v>5505</v>
      </c>
      <c r="W344" s="220"/>
      <c r="X344" s="220"/>
      <c r="Y344" s="220"/>
      <c r="Z344" s="220">
        <v>6026</v>
      </c>
    </row>
    <row r="345" spans="1:27" s="160" customFormat="1" ht="13.8">
      <c r="A345" s="160" t="s">
        <v>431</v>
      </c>
      <c r="B345" s="291">
        <v>50</v>
      </c>
      <c r="C345" s="291">
        <f>B345*115</f>
        <v>5750</v>
      </c>
      <c r="D345" s="291" t="s">
        <v>25</v>
      </c>
      <c r="E345" s="286">
        <v>0.95</v>
      </c>
      <c r="F345" s="291" t="s">
        <v>346</v>
      </c>
      <c r="G345" s="291">
        <v>67</v>
      </c>
      <c r="H345" s="160" t="s">
        <v>98</v>
      </c>
      <c r="I345" s="160" t="s">
        <v>20</v>
      </c>
      <c r="J345" s="302" t="s">
        <v>366</v>
      </c>
      <c r="K345" s="298"/>
      <c r="L345" s="298" t="s">
        <v>355</v>
      </c>
      <c r="M345" s="298" t="s">
        <v>513</v>
      </c>
      <c r="N345" s="298" t="s">
        <v>15</v>
      </c>
      <c r="O345" s="298" t="s">
        <v>280</v>
      </c>
      <c r="P345" s="298" t="s">
        <v>512</v>
      </c>
      <c r="R345" s="220"/>
      <c r="S345" s="220"/>
      <c r="T345" s="220">
        <v>3850</v>
      </c>
      <c r="U345" s="220">
        <v>5005</v>
      </c>
      <c r="V345" s="220">
        <v>5505</v>
      </c>
      <c r="W345" s="220"/>
      <c r="X345" s="220"/>
      <c r="Y345" s="220"/>
      <c r="Z345" s="220">
        <v>6027</v>
      </c>
    </row>
    <row r="346" spans="1:27" s="169" customFormat="1" ht="13.8">
      <c r="A346" s="169" t="s">
        <v>359</v>
      </c>
      <c r="B346" s="292">
        <v>30</v>
      </c>
      <c r="C346" s="292">
        <f>B346*120</f>
        <v>3600</v>
      </c>
      <c r="D346" s="292" t="s">
        <v>25</v>
      </c>
      <c r="E346" s="287">
        <v>0.95</v>
      </c>
      <c r="F346" s="292" t="s">
        <v>358</v>
      </c>
      <c r="G346" s="292" t="s">
        <v>374</v>
      </c>
      <c r="H346" s="169" t="s">
        <v>98</v>
      </c>
      <c r="I346" s="169" t="s">
        <v>20</v>
      </c>
      <c r="J346" s="303"/>
      <c r="K346" s="299"/>
      <c r="L346" s="299" t="s">
        <v>543</v>
      </c>
      <c r="M346" s="299" t="s">
        <v>364</v>
      </c>
      <c r="N346" s="299" t="s">
        <v>15</v>
      </c>
      <c r="O346" s="299" t="s">
        <v>280</v>
      </c>
      <c r="P346" s="299" t="s">
        <v>99</v>
      </c>
      <c r="R346" s="221"/>
      <c r="S346" s="221"/>
      <c r="T346" s="221">
        <v>1340</v>
      </c>
      <c r="U346" s="221">
        <v>1740</v>
      </c>
      <c r="V346" s="221">
        <v>1915</v>
      </c>
      <c r="W346" s="221"/>
      <c r="X346" s="221"/>
      <c r="Y346" s="221"/>
      <c r="Z346" s="221">
        <v>7001</v>
      </c>
      <c r="AA346" s="221"/>
    </row>
    <row r="347" spans="1:27" s="169" customFormat="1" ht="13.8">
      <c r="A347" s="169" t="s">
        <v>360</v>
      </c>
      <c r="B347" s="292">
        <v>40</v>
      </c>
      <c r="C347" s="292">
        <f t="shared" ref="C347:C354" si="20">B347*120</f>
        <v>4800</v>
      </c>
      <c r="D347" s="292" t="s">
        <v>25</v>
      </c>
      <c r="E347" s="287">
        <v>0.95</v>
      </c>
      <c r="F347" s="292" t="s">
        <v>358</v>
      </c>
      <c r="G347" s="292" t="s">
        <v>374</v>
      </c>
      <c r="H347" s="169" t="s">
        <v>98</v>
      </c>
      <c r="I347" s="169" t="s">
        <v>20</v>
      </c>
      <c r="J347" s="303"/>
      <c r="K347" s="299"/>
      <c r="L347" s="299" t="s">
        <v>543</v>
      </c>
      <c r="M347" s="299" t="s">
        <v>364</v>
      </c>
      <c r="N347" s="299" t="s">
        <v>15</v>
      </c>
      <c r="O347" s="299" t="s">
        <v>280</v>
      </c>
      <c r="P347" s="299" t="s">
        <v>99</v>
      </c>
      <c r="R347" s="221"/>
      <c r="S347" s="221"/>
      <c r="T347" s="221">
        <v>1520</v>
      </c>
      <c r="U347" s="221">
        <v>1975</v>
      </c>
      <c r="V347" s="221">
        <v>2175</v>
      </c>
      <c r="W347" s="221"/>
      <c r="X347" s="221"/>
      <c r="Y347" s="221"/>
      <c r="Z347" s="221">
        <v>7002</v>
      </c>
      <c r="AA347" s="221"/>
    </row>
    <row r="348" spans="1:27" s="169" customFormat="1" ht="13.8">
      <c r="A348" s="169" t="s">
        <v>361</v>
      </c>
      <c r="B348" s="292">
        <v>50</v>
      </c>
      <c r="C348" s="292">
        <f t="shared" si="20"/>
        <v>6000</v>
      </c>
      <c r="D348" s="292" t="s">
        <v>25</v>
      </c>
      <c r="E348" s="287">
        <v>0.95</v>
      </c>
      <c r="F348" s="292" t="s">
        <v>358</v>
      </c>
      <c r="G348" s="292" t="s">
        <v>374</v>
      </c>
      <c r="H348" s="169" t="s">
        <v>98</v>
      </c>
      <c r="I348" s="169" t="s">
        <v>20</v>
      </c>
      <c r="J348" s="303"/>
      <c r="K348" s="299"/>
      <c r="L348" s="299" t="s">
        <v>543</v>
      </c>
      <c r="M348" s="299" t="s">
        <v>364</v>
      </c>
      <c r="N348" s="299" t="s">
        <v>15</v>
      </c>
      <c r="O348" s="299" t="s">
        <v>280</v>
      </c>
      <c r="P348" s="299" t="s">
        <v>99</v>
      </c>
      <c r="R348" s="221"/>
      <c r="S348" s="221"/>
      <c r="T348" s="221">
        <v>1690</v>
      </c>
      <c r="U348" s="221">
        <v>2195</v>
      </c>
      <c r="V348" s="221">
        <v>2415</v>
      </c>
      <c r="W348" s="221"/>
      <c r="X348" s="221"/>
      <c r="Y348" s="221"/>
      <c r="Z348" s="221">
        <v>7003</v>
      </c>
      <c r="AA348" s="221"/>
    </row>
    <row r="349" spans="1:27" s="169" customFormat="1" ht="13.8">
      <c r="A349" s="169" t="s">
        <v>362</v>
      </c>
      <c r="B349" s="292">
        <v>30</v>
      </c>
      <c r="C349" s="292">
        <f t="shared" si="20"/>
        <v>3600</v>
      </c>
      <c r="D349" s="292" t="s">
        <v>25</v>
      </c>
      <c r="E349" s="287">
        <v>0.95</v>
      </c>
      <c r="F349" s="292" t="s">
        <v>358</v>
      </c>
      <c r="G349" s="292" t="s">
        <v>374</v>
      </c>
      <c r="H349" s="169" t="s">
        <v>98</v>
      </c>
      <c r="I349" s="169" t="s">
        <v>20</v>
      </c>
      <c r="J349" s="303"/>
      <c r="K349" s="299"/>
      <c r="L349" s="299" t="s">
        <v>543</v>
      </c>
      <c r="M349" s="299" t="s">
        <v>364</v>
      </c>
      <c r="N349" s="299" t="s">
        <v>15</v>
      </c>
      <c r="O349" s="299" t="s">
        <v>280</v>
      </c>
      <c r="P349" s="299" t="s">
        <v>99</v>
      </c>
      <c r="R349" s="221"/>
      <c r="S349" s="221"/>
      <c r="T349" s="221">
        <v>1340</v>
      </c>
      <c r="U349" s="221">
        <v>1740</v>
      </c>
      <c r="V349" s="221">
        <v>1915</v>
      </c>
      <c r="W349" s="221"/>
      <c r="X349" s="221"/>
      <c r="Y349" s="221"/>
      <c r="Z349" s="221">
        <v>7004</v>
      </c>
      <c r="AA349" s="221"/>
    </row>
    <row r="350" spans="1:27" s="169" customFormat="1" ht="13.8">
      <c r="A350" s="169" t="s">
        <v>367</v>
      </c>
      <c r="B350" s="292">
        <v>40</v>
      </c>
      <c r="C350" s="292">
        <f t="shared" si="20"/>
        <v>4800</v>
      </c>
      <c r="D350" s="292" t="s">
        <v>25</v>
      </c>
      <c r="E350" s="287">
        <v>0.95</v>
      </c>
      <c r="F350" s="292" t="s">
        <v>358</v>
      </c>
      <c r="G350" s="292" t="s">
        <v>374</v>
      </c>
      <c r="H350" s="169" t="s">
        <v>98</v>
      </c>
      <c r="I350" s="169" t="s">
        <v>20</v>
      </c>
      <c r="J350" s="303"/>
      <c r="K350" s="299"/>
      <c r="L350" s="299" t="s">
        <v>543</v>
      </c>
      <c r="M350" s="299" t="s">
        <v>364</v>
      </c>
      <c r="N350" s="299" t="s">
        <v>15</v>
      </c>
      <c r="O350" s="299" t="s">
        <v>280</v>
      </c>
      <c r="P350" s="299" t="s">
        <v>99</v>
      </c>
      <c r="R350" s="221"/>
      <c r="S350" s="221"/>
      <c r="T350" s="221">
        <v>1520</v>
      </c>
      <c r="U350" s="221">
        <v>1975</v>
      </c>
      <c r="V350" s="221">
        <v>2175</v>
      </c>
      <c r="W350" s="221"/>
      <c r="X350" s="221"/>
      <c r="Y350" s="221"/>
      <c r="Z350" s="221">
        <v>7005</v>
      </c>
      <c r="AA350" s="221"/>
    </row>
    <row r="351" spans="1:27" s="169" customFormat="1" ht="13.8">
      <c r="A351" s="169" t="s">
        <v>368</v>
      </c>
      <c r="B351" s="292">
        <v>50</v>
      </c>
      <c r="C351" s="292">
        <f t="shared" si="20"/>
        <v>6000</v>
      </c>
      <c r="D351" s="292" t="s">
        <v>25</v>
      </c>
      <c r="E351" s="287">
        <v>0.95</v>
      </c>
      <c r="F351" s="292" t="s">
        <v>358</v>
      </c>
      <c r="G351" s="292" t="s">
        <v>374</v>
      </c>
      <c r="H351" s="169" t="s">
        <v>98</v>
      </c>
      <c r="I351" s="169" t="s">
        <v>20</v>
      </c>
      <c r="J351" s="303"/>
      <c r="K351" s="299"/>
      <c r="L351" s="299" t="s">
        <v>543</v>
      </c>
      <c r="M351" s="299" t="s">
        <v>364</v>
      </c>
      <c r="N351" s="299" t="s">
        <v>15</v>
      </c>
      <c r="O351" s="299" t="s">
        <v>280</v>
      </c>
      <c r="P351" s="299" t="s">
        <v>99</v>
      </c>
      <c r="R351" s="221"/>
      <c r="S351" s="221"/>
      <c r="T351" s="221">
        <v>1690</v>
      </c>
      <c r="U351" s="221">
        <v>2195</v>
      </c>
      <c r="V351" s="221">
        <v>2415</v>
      </c>
      <c r="W351" s="221"/>
      <c r="X351" s="221"/>
      <c r="Y351" s="221"/>
      <c r="Z351" s="221">
        <v>7006</v>
      </c>
      <c r="AA351" s="221"/>
    </row>
    <row r="352" spans="1:27" s="169" customFormat="1" ht="13.8">
      <c r="A352" s="169" t="s">
        <v>363</v>
      </c>
      <c r="B352" s="292">
        <v>30</v>
      </c>
      <c r="C352" s="292">
        <f t="shared" si="20"/>
        <v>3600</v>
      </c>
      <c r="D352" s="292" t="s">
        <v>25</v>
      </c>
      <c r="E352" s="287">
        <v>0.95</v>
      </c>
      <c r="F352" s="292" t="s">
        <v>358</v>
      </c>
      <c r="G352" s="292" t="s">
        <v>374</v>
      </c>
      <c r="H352" s="169" t="s">
        <v>98</v>
      </c>
      <c r="I352" s="169" t="s">
        <v>20</v>
      </c>
      <c r="J352" s="303"/>
      <c r="K352" s="299"/>
      <c r="L352" s="299" t="s">
        <v>543</v>
      </c>
      <c r="M352" s="299" t="s">
        <v>364</v>
      </c>
      <c r="N352" s="299" t="s">
        <v>15</v>
      </c>
      <c r="O352" s="299" t="s">
        <v>280</v>
      </c>
      <c r="P352" s="299" t="s">
        <v>99</v>
      </c>
      <c r="R352" s="221"/>
      <c r="S352" s="221"/>
      <c r="T352" s="221">
        <v>1340</v>
      </c>
      <c r="U352" s="221">
        <v>1740</v>
      </c>
      <c r="V352" s="221">
        <v>1915</v>
      </c>
      <c r="W352" s="221"/>
      <c r="X352" s="221"/>
      <c r="Y352" s="221"/>
      <c r="Z352" s="221">
        <v>7007</v>
      </c>
      <c r="AA352" s="221"/>
    </row>
    <row r="353" spans="1:27" s="169" customFormat="1" ht="13.8">
      <c r="A353" s="169" t="s">
        <v>369</v>
      </c>
      <c r="B353" s="292">
        <v>40</v>
      </c>
      <c r="C353" s="292">
        <f t="shared" si="20"/>
        <v>4800</v>
      </c>
      <c r="D353" s="292" t="s">
        <v>25</v>
      </c>
      <c r="E353" s="287">
        <v>0.95</v>
      </c>
      <c r="F353" s="292" t="s">
        <v>358</v>
      </c>
      <c r="G353" s="292" t="s">
        <v>374</v>
      </c>
      <c r="H353" s="169" t="s">
        <v>98</v>
      </c>
      <c r="I353" s="169" t="s">
        <v>20</v>
      </c>
      <c r="J353" s="303"/>
      <c r="K353" s="299"/>
      <c r="L353" s="299" t="s">
        <v>543</v>
      </c>
      <c r="M353" s="299" t="s">
        <v>364</v>
      </c>
      <c r="N353" s="299" t="s">
        <v>15</v>
      </c>
      <c r="O353" s="299" t="s">
        <v>280</v>
      </c>
      <c r="P353" s="299" t="s">
        <v>99</v>
      </c>
      <c r="R353" s="221"/>
      <c r="S353" s="221"/>
      <c r="T353" s="221">
        <v>1520</v>
      </c>
      <c r="U353" s="221">
        <v>1975</v>
      </c>
      <c r="V353" s="221">
        <v>2175</v>
      </c>
      <c r="W353" s="221"/>
      <c r="X353" s="221"/>
      <c r="Y353" s="221"/>
      <c r="Z353" s="221">
        <v>7008</v>
      </c>
      <c r="AA353" s="221"/>
    </row>
    <row r="354" spans="1:27" s="169" customFormat="1" ht="13.8">
      <c r="A354" s="169" t="s">
        <v>370</v>
      </c>
      <c r="B354" s="292">
        <v>50</v>
      </c>
      <c r="C354" s="292">
        <f t="shared" si="20"/>
        <v>6000</v>
      </c>
      <c r="D354" s="292" t="s">
        <v>25</v>
      </c>
      <c r="E354" s="287">
        <v>0.95</v>
      </c>
      <c r="F354" s="292" t="s">
        <v>358</v>
      </c>
      <c r="G354" s="292" t="s">
        <v>374</v>
      </c>
      <c r="H354" s="169" t="s">
        <v>98</v>
      </c>
      <c r="I354" s="169" t="s">
        <v>20</v>
      </c>
      <c r="J354" s="303"/>
      <c r="K354" s="299"/>
      <c r="L354" s="299" t="s">
        <v>543</v>
      </c>
      <c r="M354" s="299" t="s">
        <v>364</v>
      </c>
      <c r="N354" s="299" t="s">
        <v>15</v>
      </c>
      <c r="O354" s="299" t="s">
        <v>280</v>
      </c>
      <c r="P354" s="299" t="s">
        <v>99</v>
      </c>
      <c r="R354" s="221"/>
      <c r="S354" s="221"/>
      <c r="T354" s="221">
        <v>1690</v>
      </c>
      <c r="U354" s="221">
        <v>2195</v>
      </c>
      <c r="V354" s="221">
        <v>2415</v>
      </c>
      <c r="W354" s="221"/>
      <c r="X354" s="221"/>
      <c r="Y354" s="221"/>
      <c r="Z354" s="221">
        <v>7009</v>
      </c>
      <c r="AA354" s="221"/>
    </row>
    <row r="355" spans="1:27" s="169" customFormat="1" ht="13.8">
      <c r="A355" s="169" t="s">
        <v>371</v>
      </c>
      <c r="B355" s="292">
        <v>30</v>
      </c>
      <c r="C355" s="292">
        <f>B355*115</f>
        <v>3450</v>
      </c>
      <c r="D355" s="292" t="s">
        <v>25</v>
      </c>
      <c r="E355" s="287">
        <v>0.95</v>
      </c>
      <c r="F355" s="292" t="s">
        <v>358</v>
      </c>
      <c r="G355" s="292" t="s">
        <v>374</v>
      </c>
      <c r="H355" s="169" t="s">
        <v>98</v>
      </c>
      <c r="I355" s="169" t="s">
        <v>20</v>
      </c>
      <c r="J355" s="303"/>
      <c r="K355" s="299"/>
      <c r="L355" s="299" t="s">
        <v>543</v>
      </c>
      <c r="M355" s="299" t="s">
        <v>364</v>
      </c>
      <c r="N355" s="299" t="s">
        <v>15</v>
      </c>
      <c r="O355" s="299" t="s">
        <v>280</v>
      </c>
      <c r="P355" s="299" t="s">
        <v>99</v>
      </c>
      <c r="R355" s="221"/>
      <c r="S355" s="221"/>
      <c r="T355" s="221">
        <v>1340</v>
      </c>
      <c r="U355" s="221">
        <v>1740</v>
      </c>
      <c r="V355" s="221">
        <v>1915</v>
      </c>
      <c r="W355" s="221"/>
      <c r="X355" s="221"/>
      <c r="Y355" s="221"/>
      <c r="Z355" s="221">
        <v>7010</v>
      </c>
      <c r="AA355" s="221"/>
    </row>
    <row r="356" spans="1:27" s="169" customFormat="1" ht="13.8">
      <c r="A356" s="169" t="s">
        <v>372</v>
      </c>
      <c r="B356" s="292">
        <v>40</v>
      </c>
      <c r="C356" s="292">
        <f t="shared" ref="C356:C357" si="21">B356*115</f>
        <v>4600</v>
      </c>
      <c r="D356" s="292" t="s">
        <v>25</v>
      </c>
      <c r="E356" s="287">
        <v>0.95</v>
      </c>
      <c r="F356" s="292" t="s">
        <v>358</v>
      </c>
      <c r="G356" s="292" t="s">
        <v>374</v>
      </c>
      <c r="H356" s="169" t="s">
        <v>98</v>
      </c>
      <c r="I356" s="169" t="s">
        <v>20</v>
      </c>
      <c r="J356" s="303"/>
      <c r="K356" s="299"/>
      <c r="L356" s="299" t="s">
        <v>543</v>
      </c>
      <c r="M356" s="299" t="s">
        <v>364</v>
      </c>
      <c r="N356" s="299" t="s">
        <v>15</v>
      </c>
      <c r="O356" s="299" t="s">
        <v>280</v>
      </c>
      <c r="P356" s="299" t="s">
        <v>99</v>
      </c>
      <c r="R356" s="221"/>
      <c r="S356" s="221"/>
      <c r="T356" s="221">
        <v>1520</v>
      </c>
      <c r="U356" s="221">
        <v>1975</v>
      </c>
      <c r="V356" s="221">
        <v>2175</v>
      </c>
      <c r="W356" s="221"/>
      <c r="X356" s="221"/>
      <c r="Y356" s="221"/>
      <c r="Z356" s="221">
        <v>7011</v>
      </c>
      <c r="AA356" s="221"/>
    </row>
    <row r="357" spans="1:27" s="169" customFormat="1" ht="13.8">
      <c r="A357" s="169" t="s">
        <v>373</v>
      </c>
      <c r="B357" s="292">
        <v>50</v>
      </c>
      <c r="C357" s="292">
        <f t="shared" si="21"/>
        <v>5750</v>
      </c>
      <c r="D357" s="292" t="s">
        <v>25</v>
      </c>
      <c r="E357" s="287">
        <v>0.95</v>
      </c>
      <c r="F357" s="292" t="s">
        <v>358</v>
      </c>
      <c r="G357" s="292" t="s">
        <v>374</v>
      </c>
      <c r="H357" s="169" t="s">
        <v>98</v>
      </c>
      <c r="I357" s="169" t="s">
        <v>20</v>
      </c>
      <c r="J357" s="303"/>
      <c r="K357" s="299"/>
      <c r="L357" s="299" t="s">
        <v>543</v>
      </c>
      <c r="M357" s="299" t="s">
        <v>364</v>
      </c>
      <c r="N357" s="299" t="s">
        <v>15</v>
      </c>
      <c r="O357" s="299" t="s">
        <v>280</v>
      </c>
      <c r="P357" s="299" t="s">
        <v>99</v>
      </c>
      <c r="R357" s="221"/>
      <c r="S357" s="221"/>
      <c r="T357" s="221">
        <v>1690</v>
      </c>
      <c r="U357" s="221">
        <v>2195</v>
      </c>
      <c r="V357" s="221">
        <v>2415</v>
      </c>
      <c r="W357" s="221"/>
      <c r="X357" s="221"/>
      <c r="Y357" s="221"/>
      <c r="Z357" s="221">
        <v>7012</v>
      </c>
      <c r="AA357" s="221"/>
    </row>
    <row r="358" spans="1:27" s="179" customFormat="1">
      <c r="A358" s="179" t="s">
        <v>411</v>
      </c>
      <c r="B358" s="293">
        <v>12</v>
      </c>
      <c r="C358" s="293">
        <v>960</v>
      </c>
      <c r="D358" s="293" t="s">
        <v>404</v>
      </c>
      <c r="E358" s="288">
        <v>0.95</v>
      </c>
      <c r="F358" s="293" t="s">
        <v>358</v>
      </c>
      <c r="G358" s="293">
        <v>65</v>
      </c>
      <c r="H358" s="179" t="s">
        <v>20</v>
      </c>
      <c r="I358" s="179" t="s">
        <v>20</v>
      </c>
      <c r="J358" s="304" t="s">
        <v>405</v>
      </c>
      <c r="K358" s="300">
        <v>0.19</v>
      </c>
      <c r="L358" s="300" t="s">
        <v>406</v>
      </c>
      <c r="M358" s="300" t="s">
        <v>410</v>
      </c>
      <c r="N358" s="300" t="s">
        <v>409</v>
      </c>
      <c r="O358" s="300" t="s">
        <v>407</v>
      </c>
      <c r="P358" s="300" t="s">
        <v>408</v>
      </c>
      <c r="R358" s="222"/>
      <c r="S358" s="222"/>
      <c r="T358" s="222">
        <v>700</v>
      </c>
      <c r="U358" s="222">
        <v>910</v>
      </c>
      <c r="V358" s="222">
        <v>1000</v>
      </c>
      <c r="W358" s="222"/>
      <c r="X358" s="222"/>
      <c r="Y358" s="222"/>
      <c r="Z358" s="222">
        <v>8001</v>
      </c>
    </row>
    <row r="359" spans="1:27">
      <c r="A359" s="9"/>
      <c r="B359" s="172"/>
      <c r="C359" s="172"/>
      <c r="D359" s="172"/>
      <c r="E359" s="174"/>
      <c r="F359" s="174"/>
      <c r="G359" s="174"/>
      <c r="H359" s="175"/>
      <c r="I359" s="174"/>
      <c r="J359" s="173"/>
      <c r="K359" s="323"/>
      <c r="L359" s="323"/>
      <c r="M359" s="323"/>
      <c r="N359" s="323"/>
      <c r="O359" s="323"/>
      <c r="P359" s="173"/>
      <c r="Q359" s="9"/>
      <c r="R359" s="9"/>
      <c r="S359" s="9"/>
      <c r="T359" s="9"/>
      <c r="U359" s="9"/>
      <c r="V359" s="9"/>
    </row>
    <row r="360" spans="1:27">
      <c r="A360" s="9"/>
      <c r="B360" s="172"/>
      <c r="C360" s="172"/>
      <c r="D360" s="172"/>
      <c r="E360" s="174"/>
      <c r="F360" s="174"/>
      <c r="G360" s="174"/>
      <c r="H360" s="175"/>
      <c r="I360" s="174"/>
      <c r="J360" s="173"/>
      <c r="K360" s="323"/>
      <c r="L360" s="323"/>
      <c r="M360" s="323"/>
      <c r="N360" s="323"/>
      <c r="O360" s="323"/>
      <c r="P360" s="173"/>
      <c r="Q360" s="9"/>
      <c r="R360" s="9"/>
      <c r="S360" s="9"/>
      <c r="T360" s="9"/>
      <c r="U360" s="9"/>
      <c r="V360" s="9"/>
    </row>
    <row r="361" spans="1:27">
      <c r="A361" s="9"/>
      <c r="B361" s="172"/>
      <c r="C361" s="172"/>
      <c r="D361" s="172"/>
      <c r="E361" s="174"/>
      <c r="F361" s="174"/>
      <c r="G361" s="174"/>
      <c r="H361" s="175"/>
      <c r="I361" s="174"/>
      <c r="J361" s="173"/>
      <c r="K361" s="323"/>
      <c r="L361" s="323"/>
      <c r="M361" s="323"/>
      <c r="N361" s="323"/>
      <c r="O361" s="323"/>
      <c r="P361" s="173"/>
      <c r="Q361" s="9"/>
      <c r="R361" s="9"/>
      <c r="S361" s="9"/>
      <c r="T361" s="9"/>
      <c r="U361" s="9"/>
      <c r="V361" s="9"/>
    </row>
    <row r="362" spans="1:27">
      <c r="A362" s="9"/>
      <c r="B362" s="172"/>
      <c r="C362" s="172"/>
      <c r="D362" s="172"/>
      <c r="E362" s="174"/>
      <c r="F362" s="174"/>
      <c r="G362" s="174"/>
      <c r="H362" s="175"/>
      <c r="I362" s="174"/>
      <c r="J362" s="173"/>
      <c r="K362" s="323"/>
      <c r="L362" s="323"/>
      <c r="M362" s="323"/>
      <c r="N362" s="323"/>
      <c r="O362" s="323"/>
      <c r="P362" s="173"/>
      <c r="Q362" s="9"/>
      <c r="R362" s="9"/>
      <c r="S362" s="9"/>
      <c r="T362" s="9"/>
      <c r="U362" s="9"/>
      <c r="V362" s="9"/>
    </row>
    <row r="363" spans="1:27">
      <c r="A363" s="9"/>
      <c r="B363" s="172"/>
      <c r="C363" s="172"/>
      <c r="D363" s="172"/>
      <c r="E363" s="174"/>
      <c r="F363" s="174"/>
      <c r="G363" s="174"/>
      <c r="H363" s="175"/>
      <c r="I363" s="174"/>
      <c r="J363" s="173"/>
      <c r="K363" s="323"/>
      <c r="L363" s="323"/>
      <c r="M363" s="323"/>
      <c r="N363" s="323"/>
      <c r="O363" s="323"/>
      <c r="P363" s="173"/>
      <c r="Q363" s="9"/>
      <c r="R363" s="9"/>
      <c r="S363" s="9"/>
      <c r="T363" s="9"/>
      <c r="U363" s="9"/>
      <c r="V363" s="9"/>
    </row>
    <row r="364" spans="1:27">
      <c r="A364" s="9"/>
      <c r="B364" s="172"/>
      <c r="C364" s="172"/>
      <c r="D364" s="172"/>
      <c r="E364" s="174"/>
      <c r="F364" s="174"/>
      <c r="G364" s="174"/>
      <c r="H364" s="175"/>
      <c r="I364" s="174"/>
      <c r="J364" s="173"/>
      <c r="K364" s="323"/>
      <c r="L364" s="323"/>
      <c r="M364" s="323"/>
      <c r="N364" s="323"/>
      <c r="O364" s="323"/>
      <c r="P364" s="173"/>
      <c r="Q364" s="9"/>
      <c r="R364" s="9"/>
      <c r="S364" s="9"/>
      <c r="T364" s="9"/>
      <c r="U364" s="9"/>
      <c r="V364" s="9"/>
    </row>
    <row r="365" spans="1:27">
      <c r="A365" s="9"/>
      <c r="B365" s="172"/>
      <c r="C365" s="172"/>
      <c r="D365" s="172"/>
      <c r="E365" s="174"/>
      <c r="F365" s="174"/>
      <c r="G365" s="174"/>
      <c r="H365" s="175"/>
      <c r="I365" s="174"/>
      <c r="J365" s="173"/>
      <c r="K365" s="323"/>
      <c r="L365" s="323"/>
      <c r="M365" s="323"/>
      <c r="N365" s="323"/>
      <c r="O365" s="323"/>
      <c r="P365" s="173"/>
      <c r="Q365" s="9"/>
      <c r="R365" s="9"/>
      <c r="S365" s="9"/>
      <c r="T365" s="9"/>
      <c r="U365" s="9"/>
      <c r="V365" s="9"/>
    </row>
    <row r="366" spans="1:27">
      <c r="A366" s="9"/>
      <c r="B366" s="172"/>
      <c r="C366" s="172"/>
      <c r="D366" s="172"/>
      <c r="E366" s="174"/>
      <c r="F366" s="174"/>
      <c r="G366" s="174"/>
      <c r="H366" s="175"/>
      <c r="I366" s="174"/>
      <c r="J366" s="173"/>
      <c r="K366" s="323"/>
      <c r="L366" s="323"/>
      <c r="M366" s="323"/>
      <c r="N366" s="323"/>
      <c r="O366" s="323"/>
      <c r="P366" s="173"/>
      <c r="Q366" s="9"/>
      <c r="R366" s="9"/>
      <c r="S366" s="9"/>
      <c r="T366" s="9"/>
      <c r="U366" s="9"/>
      <c r="V366" s="9"/>
    </row>
    <row r="367" spans="1:27">
      <c r="A367" s="9"/>
      <c r="B367" s="172"/>
      <c r="C367" s="172"/>
      <c r="D367" s="172"/>
      <c r="E367" s="174"/>
      <c r="F367" s="174"/>
      <c r="G367" s="174"/>
      <c r="H367" s="175"/>
      <c r="I367" s="174"/>
      <c r="J367" s="173"/>
      <c r="K367" s="323"/>
      <c r="L367" s="323"/>
      <c r="M367" s="323"/>
      <c r="N367" s="323"/>
      <c r="O367" s="323"/>
      <c r="P367" s="173"/>
      <c r="Q367" s="9"/>
      <c r="R367" s="9"/>
      <c r="S367" s="9"/>
      <c r="T367" s="9"/>
      <c r="U367" s="9"/>
      <c r="V367" s="9"/>
    </row>
    <row r="368" spans="1:27">
      <c r="A368" s="9"/>
      <c r="B368" s="172"/>
      <c r="C368" s="172"/>
      <c r="D368" s="172"/>
      <c r="E368" s="174"/>
      <c r="F368" s="174"/>
      <c r="G368" s="174"/>
      <c r="H368" s="175"/>
      <c r="I368" s="174"/>
      <c r="J368" s="173"/>
      <c r="K368" s="323"/>
      <c r="L368" s="323"/>
      <c r="M368" s="323"/>
      <c r="N368" s="323"/>
      <c r="O368" s="323"/>
      <c r="P368" s="173"/>
      <c r="Q368" s="9"/>
      <c r="R368" s="9"/>
      <c r="S368" s="9"/>
      <c r="T368" s="9"/>
      <c r="U368" s="9"/>
      <c r="V368" s="9"/>
    </row>
    <row r="369" spans="1:22">
      <c r="A369" s="9"/>
      <c r="B369" s="172"/>
      <c r="C369" s="172"/>
      <c r="D369" s="172"/>
      <c r="E369" s="174"/>
      <c r="F369" s="174"/>
      <c r="G369" s="174"/>
      <c r="H369" s="175"/>
      <c r="I369" s="174"/>
      <c r="J369" s="173"/>
      <c r="K369" s="323"/>
      <c r="L369" s="323"/>
      <c r="M369" s="323"/>
      <c r="N369" s="323"/>
      <c r="O369" s="323"/>
      <c r="P369" s="173"/>
      <c r="Q369" s="9"/>
      <c r="R369" s="9"/>
      <c r="S369" s="9"/>
      <c r="T369" s="9"/>
      <c r="U369" s="9"/>
      <c r="V369" s="9"/>
    </row>
    <row r="370" spans="1:22">
      <c r="A370" s="9"/>
      <c r="B370" s="172"/>
      <c r="C370" s="172"/>
      <c r="D370" s="172"/>
      <c r="E370" s="174"/>
      <c r="F370" s="174"/>
      <c r="G370" s="174"/>
      <c r="H370" s="175"/>
      <c r="I370" s="174"/>
      <c r="J370" s="173"/>
      <c r="K370" s="323"/>
      <c r="L370" s="323"/>
      <c r="M370" s="323"/>
      <c r="N370" s="323"/>
      <c r="O370" s="323"/>
      <c r="P370" s="173"/>
      <c r="Q370" s="9"/>
      <c r="R370" s="9"/>
      <c r="S370" s="9"/>
      <c r="T370" s="9"/>
      <c r="U370" s="9"/>
      <c r="V370" s="9"/>
    </row>
    <row r="371" spans="1:22">
      <c r="A371" s="9"/>
      <c r="B371" s="172"/>
      <c r="C371" s="172"/>
      <c r="D371" s="172"/>
      <c r="E371" s="174"/>
      <c r="F371" s="174"/>
      <c r="G371" s="174"/>
      <c r="H371" s="175"/>
      <c r="I371" s="174"/>
      <c r="J371" s="173"/>
      <c r="K371" s="323"/>
      <c r="L371" s="323"/>
      <c r="M371" s="323"/>
      <c r="N371" s="323"/>
      <c r="O371" s="323"/>
      <c r="P371" s="173"/>
      <c r="Q371" s="9"/>
      <c r="R371" s="9"/>
      <c r="S371" s="9"/>
      <c r="T371" s="9"/>
      <c r="U371" s="9"/>
      <c r="V371" s="9"/>
    </row>
    <row r="372" spans="1:22">
      <c r="A372" s="9"/>
      <c r="B372" s="172"/>
      <c r="C372" s="172"/>
      <c r="D372" s="172"/>
      <c r="E372" s="174"/>
      <c r="F372" s="174"/>
      <c r="G372" s="174"/>
      <c r="H372" s="175"/>
      <c r="I372" s="174"/>
      <c r="J372" s="173"/>
      <c r="K372" s="323"/>
      <c r="L372" s="323"/>
      <c r="M372" s="323"/>
      <c r="N372" s="323"/>
      <c r="O372" s="323"/>
      <c r="P372" s="173"/>
      <c r="Q372" s="9"/>
      <c r="R372" s="9"/>
      <c r="S372" s="9"/>
      <c r="T372" s="9"/>
      <c r="U372" s="9"/>
      <c r="V372" s="9"/>
    </row>
    <row r="373" spans="1:22">
      <c r="A373" s="9"/>
      <c r="B373" s="172"/>
      <c r="C373" s="172"/>
      <c r="D373" s="172"/>
      <c r="E373" s="174"/>
      <c r="F373" s="174"/>
      <c r="G373" s="174"/>
      <c r="H373" s="175"/>
      <c r="I373" s="174"/>
      <c r="J373" s="173"/>
      <c r="K373" s="323"/>
      <c r="L373" s="323"/>
      <c r="M373" s="323"/>
      <c r="N373" s="323"/>
      <c r="O373" s="323"/>
      <c r="P373" s="173"/>
      <c r="Q373" s="9"/>
      <c r="R373" s="9"/>
      <c r="S373" s="9"/>
      <c r="T373" s="9"/>
      <c r="U373" s="9"/>
      <c r="V373" s="9"/>
    </row>
    <row r="374" spans="1:22">
      <c r="A374" s="9"/>
      <c r="B374" s="172"/>
      <c r="C374" s="172"/>
      <c r="D374" s="172"/>
      <c r="E374" s="174"/>
      <c r="F374" s="174"/>
      <c r="G374" s="174"/>
      <c r="H374" s="175"/>
      <c r="I374" s="174"/>
      <c r="J374" s="173"/>
      <c r="K374" s="323"/>
      <c r="L374" s="323"/>
      <c r="M374" s="323"/>
      <c r="N374" s="323"/>
      <c r="O374" s="323"/>
      <c r="P374" s="173"/>
      <c r="Q374" s="9"/>
      <c r="R374" s="9"/>
      <c r="S374" s="9"/>
      <c r="T374" s="9"/>
      <c r="U374" s="9"/>
      <c r="V374" s="9"/>
    </row>
    <row r="375" spans="1:22">
      <c r="A375" s="9"/>
      <c r="B375" s="172"/>
      <c r="C375" s="172"/>
      <c r="D375" s="172"/>
      <c r="E375" s="174"/>
      <c r="F375" s="174"/>
      <c r="G375" s="174"/>
      <c r="H375" s="175"/>
      <c r="I375" s="174"/>
      <c r="J375" s="173"/>
      <c r="K375" s="323"/>
      <c r="L375" s="323"/>
      <c r="M375" s="323"/>
      <c r="N375" s="323"/>
      <c r="O375" s="323"/>
      <c r="P375" s="173"/>
      <c r="Q375" s="9"/>
      <c r="R375" s="9"/>
      <c r="S375" s="9"/>
      <c r="T375" s="9"/>
      <c r="U375" s="9"/>
      <c r="V375" s="9"/>
    </row>
    <row r="376" spans="1:22">
      <c r="A376" s="9"/>
      <c r="B376" s="172"/>
      <c r="C376" s="172"/>
      <c r="D376" s="172"/>
      <c r="E376" s="174"/>
      <c r="F376" s="174"/>
      <c r="G376" s="174"/>
      <c r="H376" s="175"/>
      <c r="I376" s="174"/>
      <c r="J376" s="173"/>
      <c r="K376" s="323"/>
      <c r="L376" s="323"/>
      <c r="M376" s="323"/>
      <c r="N376" s="323"/>
      <c r="O376" s="323"/>
      <c r="P376" s="173"/>
      <c r="Q376" s="9"/>
      <c r="R376" s="9"/>
      <c r="S376" s="9"/>
      <c r="T376" s="9"/>
      <c r="U376" s="9"/>
      <c r="V376" s="9"/>
    </row>
    <row r="377" spans="1:22">
      <c r="A377" s="9"/>
      <c r="B377" s="172"/>
      <c r="C377" s="172"/>
      <c r="D377" s="172"/>
      <c r="E377" s="174"/>
      <c r="F377" s="174"/>
      <c r="G377" s="174"/>
      <c r="H377" s="175"/>
      <c r="I377" s="174"/>
      <c r="J377" s="173"/>
      <c r="K377" s="323"/>
      <c r="L377" s="323"/>
      <c r="M377" s="323"/>
      <c r="N377" s="323"/>
      <c r="O377" s="323"/>
      <c r="P377" s="173"/>
      <c r="Q377" s="9"/>
      <c r="R377" s="9"/>
      <c r="S377" s="9"/>
      <c r="T377" s="9"/>
      <c r="U377" s="9"/>
      <c r="V377" s="9"/>
    </row>
    <row r="378" spans="1:22">
      <c r="A378" s="9"/>
      <c r="B378" s="172"/>
      <c r="C378" s="172"/>
      <c r="D378" s="172"/>
      <c r="E378" s="174"/>
      <c r="F378" s="174"/>
      <c r="G378" s="174"/>
      <c r="H378" s="175"/>
      <c r="I378" s="174"/>
      <c r="J378" s="173"/>
      <c r="K378" s="323"/>
      <c r="L378" s="323"/>
      <c r="M378" s="323"/>
      <c r="N378" s="323"/>
      <c r="O378" s="323"/>
      <c r="P378" s="173"/>
      <c r="Q378" s="9"/>
      <c r="R378" s="9"/>
      <c r="S378" s="9"/>
      <c r="T378" s="9"/>
      <c r="U378" s="9"/>
      <c r="V378" s="9"/>
    </row>
    <row r="379" spans="1:22">
      <c r="A379" s="9"/>
      <c r="B379" s="172"/>
      <c r="C379" s="172"/>
      <c r="D379" s="172"/>
      <c r="E379" s="174"/>
      <c r="F379" s="174"/>
      <c r="G379" s="174"/>
      <c r="H379" s="175"/>
      <c r="I379" s="174"/>
      <c r="J379" s="173"/>
      <c r="K379" s="323"/>
      <c r="L379" s="323"/>
      <c r="M379" s="323"/>
      <c r="N379" s="323"/>
      <c r="O379" s="323"/>
      <c r="P379" s="173"/>
      <c r="Q379" s="9"/>
      <c r="R379" s="9"/>
      <c r="S379" s="9"/>
      <c r="T379" s="9"/>
      <c r="U379" s="9"/>
      <c r="V379" s="9"/>
    </row>
    <row r="380" spans="1:22">
      <c r="A380" s="9"/>
      <c r="B380" s="172"/>
      <c r="C380" s="172"/>
      <c r="D380" s="172"/>
      <c r="E380" s="174"/>
      <c r="F380" s="174"/>
      <c r="G380" s="174"/>
      <c r="H380" s="175"/>
      <c r="I380" s="174"/>
      <c r="J380" s="173"/>
      <c r="K380" s="323"/>
      <c r="L380" s="323"/>
      <c r="M380" s="323"/>
      <c r="N380" s="323"/>
      <c r="O380" s="323"/>
      <c r="P380" s="173"/>
      <c r="Q380" s="9"/>
      <c r="R380" s="9"/>
      <c r="S380" s="9"/>
      <c r="T380" s="9"/>
      <c r="U380" s="9"/>
      <c r="V380" s="9"/>
    </row>
    <row r="381" spans="1:22">
      <c r="R381" s="9"/>
    </row>
    <row r="382" spans="1:22">
      <c r="R382" s="9"/>
    </row>
    <row r="383" spans="1:22">
      <c r="R383" s="9"/>
    </row>
    <row r="384" spans="1:22">
      <c r="R384" s="9"/>
    </row>
    <row r="385" spans="18:18">
      <c r="R385" s="9"/>
    </row>
    <row r="386" spans="18:18">
      <c r="R386" s="9"/>
    </row>
    <row r="387" spans="18:18">
      <c r="R387" s="9"/>
    </row>
    <row r="388" spans="18:18">
      <c r="R388" s="9"/>
    </row>
    <row r="389" spans="18:18">
      <c r="R389" s="9"/>
    </row>
    <row r="390" spans="18:18">
      <c r="R390" s="9"/>
    </row>
    <row r="391" spans="18:18">
      <c r="R391" s="9"/>
    </row>
    <row r="392" spans="18:18">
      <c r="R392" s="9"/>
    </row>
    <row r="393" spans="18:18">
      <c r="R393" s="9"/>
    </row>
    <row r="394" spans="18:18">
      <c r="R394" s="9"/>
    </row>
    <row r="395" spans="18:18">
      <c r="R395" s="9"/>
    </row>
    <row r="396" spans="18:18">
      <c r="R396" s="9"/>
    </row>
    <row r="397" spans="18:18">
      <c r="R397" s="9"/>
    </row>
    <row r="398" spans="18:18">
      <c r="R398" s="9"/>
    </row>
    <row r="399" spans="18:18">
      <c r="R399" s="9"/>
    </row>
    <row r="400" spans="18:18">
      <c r="R400" s="9"/>
    </row>
    <row r="401" spans="18:18">
      <c r="R401" s="9"/>
    </row>
    <row r="402" spans="18:18">
      <c r="R402" s="9"/>
    </row>
    <row r="403" spans="18:18">
      <c r="R403" s="9"/>
    </row>
    <row r="404" spans="18:18">
      <c r="R404" s="9"/>
    </row>
    <row r="405" spans="18:18">
      <c r="R405" s="9"/>
    </row>
    <row r="406" spans="18:18">
      <c r="R406" s="9"/>
    </row>
    <row r="407" spans="18:18">
      <c r="R407" s="9"/>
    </row>
    <row r="408" spans="18:18">
      <c r="R408" s="9"/>
    </row>
    <row r="409" spans="18:18">
      <c r="R409" s="9"/>
    </row>
    <row r="410" spans="18:18">
      <c r="R410" s="9"/>
    </row>
    <row r="411" spans="18:18">
      <c r="R411" s="9"/>
    </row>
    <row r="412" spans="18:18">
      <c r="R412" s="9"/>
    </row>
    <row r="413" spans="18:18">
      <c r="R413" s="9"/>
    </row>
    <row r="414" spans="18:18">
      <c r="R414" s="9"/>
    </row>
    <row r="415" spans="18:18">
      <c r="R415" s="9"/>
    </row>
    <row r="416" spans="18:18">
      <c r="R416" s="9"/>
    </row>
    <row r="417" spans="18:18">
      <c r="R417" s="9"/>
    </row>
    <row r="418" spans="18:18">
      <c r="R418" s="9"/>
    </row>
    <row r="419" spans="18:18">
      <c r="R419" s="9"/>
    </row>
    <row r="420" spans="18:18">
      <c r="R420" s="9"/>
    </row>
    <row r="421" spans="18:18">
      <c r="R421" s="9"/>
    </row>
    <row r="422" spans="18:18">
      <c r="R422" s="9"/>
    </row>
    <row r="423" spans="18:18">
      <c r="R423" s="9"/>
    </row>
    <row r="424" spans="18:18">
      <c r="R424" s="9"/>
    </row>
    <row r="425" spans="18:18">
      <c r="R425" s="9"/>
    </row>
    <row r="426" spans="18:18">
      <c r="R426" s="9"/>
    </row>
    <row r="427" spans="18:18">
      <c r="R427" s="9"/>
    </row>
    <row r="428" spans="18:18">
      <c r="R428" s="9"/>
    </row>
    <row r="429" spans="18:18">
      <c r="R429" s="9"/>
    </row>
    <row r="430" spans="18:18">
      <c r="R430" s="9"/>
    </row>
    <row r="431" spans="18:18">
      <c r="R431" s="9"/>
    </row>
    <row r="432" spans="18:18">
      <c r="R432" s="9"/>
    </row>
    <row r="433" spans="18:18">
      <c r="R433" s="9"/>
    </row>
    <row r="434" spans="18:18">
      <c r="R434" s="9"/>
    </row>
    <row r="435" spans="18:18">
      <c r="R435" s="9"/>
    </row>
    <row r="436" spans="18:18">
      <c r="R436" s="9"/>
    </row>
    <row r="437" spans="18:18">
      <c r="R437" s="9"/>
    </row>
    <row r="438" spans="18:18">
      <c r="R438" s="9"/>
    </row>
    <row r="439" spans="18:18">
      <c r="R439" s="9"/>
    </row>
    <row r="440" spans="18:18">
      <c r="R440" s="9"/>
    </row>
    <row r="441" spans="18:18">
      <c r="R441" s="9"/>
    </row>
    <row r="442" spans="18:18">
      <c r="R442" s="9"/>
    </row>
    <row r="443" spans="18:18">
      <c r="R443" s="9"/>
    </row>
    <row r="444" spans="18:18">
      <c r="R444" s="9"/>
    </row>
    <row r="445" spans="18:18">
      <c r="R445" s="9"/>
    </row>
    <row r="446" spans="18:18">
      <c r="R446" s="9"/>
    </row>
    <row r="447" spans="18:18">
      <c r="R447" s="9"/>
    </row>
    <row r="448" spans="18:18">
      <c r="R448" s="9"/>
    </row>
    <row r="449" spans="18:18">
      <c r="R449" s="9"/>
    </row>
    <row r="450" spans="18:18">
      <c r="R450" s="9"/>
    </row>
    <row r="451" spans="18:18">
      <c r="R451" s="9"/>
    </row>
    <row r="452" spans="18:18">
      <c r="R452" s="9"/>
    </row>
    <row r="453" spans="18:18">
      <c r="R453" s="9"/>
    </row>
    <row r="454" spans="18:18">
      <c r="R454" s="9"/>
    </row>
    <row r="455" spans="18:18">
      <c r="R455" s="9"/>
    </row>
    <row r="456" spans="18:18">
      <c r="R456" s="9"/>
    </row>
    <row r="457" spans="18:18">
      <c r="R457" s="9"/>
    </row>
    <row r="458" spans="18:18">
      <c r="R458" s="9"/>
    </row>
    <row r="459" spans="18:18">
      <c r="R459" s="9"/>
    </row>
    <row r="460" spans="18:18">
      <c r="R460" s="9"/>
    </row>
    <row r="461" spans="18:18">
      <c r="R461" s="9"/>
    </row>
    <row r="462" spans="18:18">
      <c r="R462" s="9"/>
    </row>
    <row r="463" spans="18:18">
      <c r="R463" s="9"/>
    </row>
    <row r="464" spans="18:18">
      <c r="R464" s="9"/>
    </row>
    <row r="465" spans="18:18">
      <c r="R465" s="9"/>
    </row>
    <row r="466" spans="18:18">
      <c r="R466" s="9"/>
    </row>
    <row r="467" spans="18:18">
      <c r="R467" s="9"/>
    </row>
    <row r="468" spans="18:18">
      <c r="R468" s="9"/>
    </row>
    <row r="469" spans="18:18">
      <c r="R469" s="9"/>
    </row>
    <row r="470" spans="18:18">
      <c r="R470" s="9"/>
    </row>
    <row r="471" spans="18:18">
      <c r="R471" s="9"/>
    </row>
    <row r="472" spans="18:18">
      <c r="R472" s="9"/>
    </row>
    <row r="473" spans="18:18">
      <c r="R473" s="9"/>
    </row>
    <row r="474" spans="18:18">
      <c r="R474" s="9"/>
    </row>
    <row r="475" spans="18:18">
      <c r="R475" s="9"/>
    </row>
    <row r="476" spans="18:18">
      <c r="R476" s="9"/>
    </row>
    <row r="477" spans="18:18">
      <c r="R477" s="9"/>
    </row>
    <row r="478" spans="18:18">
      <c r="R478" s="9"/>
    </row>
    <row r="479" spans="18:18">
      <c r="R479" s="9"/>
    </row>
    <row r="480" spans="18:18">
      <c r="R480" s="9"/>
    </row>
    <row r="481" spans="18:18">
      <c r="R481" s="9"/>
    </row>
    <row r="482" spans="18:18">
      <c r="R482" s="9"/>
    </row>
    <row r="483" spans="18:18">
      <c r="R483" s="9"/>
    </row>
    <row r="484" spans="18:18">
      <c r="R484" s="9"/>
    </row>
    <row r="485" spans="18:18">
      <c r="R485" s="9"/>
    </row>
    <row r="486" spans="18:18">
      <c r="R486" s="9"/>
    </row>
    <row r="487" spans="18:18">
      <c r="R487" s="9"/>
    </row>
    <row r="488" spans="18:18">
      <c r="R488" s="9"/>
    </row>
    <row r="489" spans="18:18">
      <c r="R489" s="9"/>
    </row>
    <row r="490" spans="18:18">
      <c r="R490" s="9"/>
    </row>
    <row r="491" spans="18:18">
      <c r="R491" s="9"/>
    </row>
    <row r="492" spans="18:18">
      <c r="R492" s="9"/>
    </row>
    <row r="493" spans="18:18">
      <c r="R493" s="9"/>
    </row>
    <row r="494" spans="18:18">
      <c r="R494" s="9"/>
    </row>
    <row r="495" spans="18:18">
      <c r="R495" s="9"/>
    </row>
    <row r="496" spans="18:18">
      <c r="R496" s="9"/>
    </row>
    <row r="497" spans="18:18">
      <c r="R497" s="9"/>
    </row>
    <row r="498" spans="18:18">
      <c r="R498" s="9"/>
    </row>
    <row r="499" spans="18:18">
      <c r="R499" s="9"/>
    </row>
    <row r="500" spans="18:18">
      <c r="R500" s="9"/>
    </row>
    <row r="501" spans="18:18">
      <c r="R501" s="9"/>
    </row>
    <row r="502" spans="18:18">
      <c r="R502" s="9"/>
    </row>
    <row r="503" spans="18:18">
      <c r="R503" s="9"/>
    </row>
    <row r="504" spans="18:18">
      <c r="R504" s="9"/>
    </row>
    <row r="505" spans="18:18">
      <c r="R505" s="9"/>
    </row>
    <row r="506" spans="18:18">
      <c r="R506" s="9"/>
    </row>
    <row r="507" spans="18:18">
      <c r="R507" s="9"/>
    </row>
    <row r="508" spans="18:18">
      <c r="R508" s="9"/>
    </row>
    <row r="509" spans="18:18">
      <c r="R509" s="9"/>
    </row>
    <row r="510" spans="18:18">
      <c r="R510" s="9"/>
    </row>
    <row r="511" spans="18:18">
      <c r="R511" s="9"/>
    </row>
    <row r="512" spans="18:18">
      <c r="R512" s="9"/>
    </row>
    <row r="513" spans="18:18">
      <c r="R513" s="9"/>
    </row>
    <row r="514" spans="18:18">
      <c r="R514" s="9"/>
    </row>
    <row r="515" spans="18:18">
      <c r="R515" s="9"/>
    </row>
    <row r="516" spans="18:18">
      <c r="R516" s="9"/>
    </row>
    <row r="517" spans="18:18">
      <c r="R517" s="9"/>
    </row>
    <row r="518" spans="18:18">
      <c r="R518" s="9"/>
    </row>
    <row r="519" spans="18:18">
      <c r="R519" s="9"/>
    </row>
    <row r="520" spans="18:18">
      <c r="R520" s="9"/>
    </row>
    <row r="521" spans="18:18">
      <c r="R521" s="9"/>
    </row>
    <row r="522" spans="18:18">
      <c r="R522" s="9"/>
    </row>
    <row r="523" spans="18:18">
      <c r="R523" s="9"/>
    </row>
    <row r="524" spans="18:18">
      <c r="R524" s="9"/>
    </row>
    <row r="525" spans="18:18">
      <c r="R525" s="9"/>
    </row>
    <row r="526" spans="18:18">
      <c r="R526" s="9"/>
    </row>
    <row r="527" spans="18:18">
      <c r="R527" s="9"/>
    </row>
    <row r="528" spans="18:18">
      <c r="R528" s="9"/>
    </row>
    <row r="529" spans="18:18">
      <c r="R529" s="9"/>
    </row>
    <row r="530" spans="18:18">
      <c r="R530" s="9"/>
    </row>
    <row r="531" spans="18:18">
      <c r="R531" s="9"/>
    </row>
    <row r="532" spans="18:18">
      <c r="R532" s="9"/>
    </row>
    <row r="533" spans="18:18">
      <c r="R533" s="9"/>
    </row>
    <row r="534" spans="18:18">
      <c r="R534" s="9"/>
    </row>
    <row r="535" spans="18:18">
      <c r="R535" s="9"/>
    </row>
    <row r="536" spans="18:18">
      <c r="R536" s="9"/>
    </row>
    <row r="537" spans="18:18">
      <c r="R537" s="9"/>
    </row>
    <row r="538" spans="18:18">
      <c r="R538" s="9"/>
    </row>
    <row r="539" spans="18:18">
      <c r="R539" s="9"/>
    </row>
    <row r="540" spans="18:18">
      <c r="R540" s="9"/>
    </row>
    <row r="541" spans="18:18">
      <c r="R541" s="9"/>
    </row>
    <row r="542" spans="18:18">
      <c r="R542" s="9"/>
    </row>
    <row r="543" spans="18:18">
      <c r="R543" s="9"/>
    </row>
    <row r="544" spans="18:18">
      <c r="R544" s="9"/>
    </row>
    <row r="545" spans="18:18">
      <c r="R545" s="9"/>
    </row>
    <row r="546" spans="18:18">
      <c r="R546" s="9"/>
    </row>
    <row r="547" spans="18:18">
      <c r="R547" s="9"/>
    </row>
    <row r="548" spans="18:18">
      <c r="R548" s="9"/>
    </row>
    <row r="549" spans="18:18">
      <c r="R549" s="9"/>
    </row>
    <row r="550" spans="18:18">
      <c r="R550" s="9"/>
    </row>
    <row r="551" spans="18:18">
      <c r="R551" s="9"/>
    </row>
    <row r="552" spans="18:18">
      <c r="R552" s="9"/>
    </row>
    <row r="553" spans="18:18">
      <c r="R553" s="9"/>
    </row>
    <row r="554" spans="18:18">
      <c r="R554" s="9"/>
    </row>
    <row r="555" spans="18:18">
      <c r="R555" s="9"/>
    </row>
    <row r="556" spans="18:18">
      <c r="R556" s="9"/>
    </row>
    <row r="557" spans="18:18">
      <c r="R557" s="9"/>
    </row>
    <row r="558" spans="18:18">
      <c r="R558" s="9"/>
    </row>
    <row r="559" spans="18:18">
      <c r="R559" s="9"/>
    </row>
    <row r="560" spans="18:18">
      <c r="R560" s="9"/>
    </row>
    <row r="561" spans="18:18">
      <c r="R561" s="9"/>
    </row>
    <row r="562" spans="18:18">
      <c r="R562" s="9"/>
    </row>
    <row r="563" spans="18:18">
      <c r="R563" s="9"/>
    </row>
    <row r="564" spans="18:18">
      <c r="R564" s="9"/>
    </row>
    <row r="565" spans="18:18">
      <c r="R565" s="9"/>
    </row>
    <row r="566" spans="18:18">
      <c r="R566" s="9"/>
    </row>
    <row r="567" spans="18:18">
      <c r="R567" s="9"/>
    </row>
    <row r="568" spans="18:18">
      <c r="R568" s="9"/>
    </row>
    <row r="569" spans="18:18">
      <c r="R569" s="9"/>
    </row>
    <row r="570" spans="18:18">
      <c r="R570" s="9"/>
    </row>
    <row r="571" spans="18:18">
      <c r="R571" s="9"/>
    </row>
    <row r="572" spans="18:18">
      <c r="R572" s="9"/>
    </row>
    <row r="573" spans="18:18">
      <c r="R573" s="9"/>
    </row>
    <row r="574" spans="18:18">
      <c r="R574" s="9"/>
    </row>
    <row r="575" spans="18:18">
      <c r="R575" s="9"/>
    </row>
    <row r="576" spans="18:18">
      <c r="R576" s="9"/>
    </row>
    <row r="577" spans="18:18">
      <c r="R577" s="9"/>
    </row>
    <row r="578" spans="18:18">
      <c r="R578" s="9"/>
    </row>
    <row r="579" spans="18:18">
      <c r="R579" s="9"/>
    </row>
    <row r="580" spans="18:18">
      <c r="R580" s="9"/>
    </row>
    <row r="581" spans="18:18">
      <c r="R581" s="9"/>
    </row>
    <row r="582" spans="18:18">
      <c r="R582" s="9"/>
    </row>
    <row r="583" spans="18:18">
      <c r="R583" s="9"/>
    </row>
    <row r="584" spans="18:18">
      <c r="R584" s="9"/>
    </row>
    <row r="585" spans="18:18">
      <c r="R585" s="9"/>
    </row>
    <row r="586" spans="18:18">
      <c r="R586" s="9"/>
    </row>
    <row r="587" spans="18:18">
      <c r="R587" s="9"/>
    </row>
    <row r="588" spans="18:18">
      <c r="R588" s="9"/>
    </row>
    <row r="589" spans="18:18">
      <c r="R589" s="9"/>
    </row>
    <row r="590" spans="18:18">
      <c r="R590" s="9"/>
    </row>
    <row r="591" spans="18:18">
      <c r="R591" s="9"/>
    </row>
    <row r="592" spans="18:18">
      <c r="R592" s="9"/>
    </row>
    <row r="593" spans="18:18">
      <c r="R593" s="9"/>
    </row>
    <row r="594" spans="18:18">
      <c r="R594" s="9"/>
    </row>
    <row r="595" spans="18:18">
      <c r="R595" s="9"/>
    </row>
    <row r="596" spans="18:18">
      <c r="R596" s="9"/>
    </row>
    <row r="597" spans="18:18">
      <c r="R597" s="9"/>
    </row>
    <row r="598" spans="18:18">
      <c r="R598" s="9"/>
    </row>
    <row r="599" spans="18:18">
      <c r="R599" s="9"/>
    </row>
    <row r="600" spans="18:18">
      <c r="R600" s="9"/>
    </row>
    <row r="601" spans="18:18">
      <c r="R601" s="9"/>
    </row>
    <row r="602" spans="18:18">
      <c r="R602" s="9"/>
    </row>
    <row r="603" spans="18:18">
      <c r="R603" s="9"/>
    </row>
    <row r="604" spans="18:18">
      <c r="R604" s="9"/>
    </row>
    <row r="605" spans="18:18">
      <c r="R605" s="9"/>
    </row>
    <row r="606" spans="18:18">
      <c r="R606" s="9"/>
    </row>
    <row r="607" spans="18:18">
      <c r="R607" s="9"/>
    </row>
    <row r="608" spans="18:18">
      <c r="R608" s="9"/>
    </row>
    <row r="609" spans="18:18">
      <c r="R609" s="9"/>
    </row>
    <row r="610" spans="18:18">
      <c r="R610" s="9"/>
    </row>
    <row r="611" spans="18:18">
      <c r="R611" s="9"/>
    </row>
    <row r="612" spans="18:18">
      <c r="R612" s="9"/>
    </row>
    <row r="613" spans="18:18">
      <c r="R613" s="9"/>
    </row>
    <row r="614" spans="18:18">
      <c r="R614" s="9"/>
    </row>
    <row r="615" spans="18:18">
      <c r="R615" s="9"/>
    </row>
    <row r="616" spans="18:18">
      <c r="R616" s="9"/>
    </row>
    <row r="617" spans="18:18">
      <c r="R617" s="9"/>
    </row>
    <row r="618" spans="18:18">
      <c r="R618" s="9"/>
    </row>
    <row r="619" spans="18:18">
      <c r="R619" s="9"/>
    </row>
    <row r="620" spans="18:18">
      <c r="R620" s="9"/>
    </row>
    <row r="621" spans="18:18">
      <c r="R621" s="9"/>
    </row>
    <row r="622" spans="18:18">
      <c r="R622" s="9"/>
    </row>
  </sheetData>
  <pageMargins left="0.25" right="0.25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outlinePr summaryBelow="0" summaryRight="0"/>
    <pageSetUpPr fitToPage="1"/>
  </sheetPr>
  <dimension ref="A1:AA92"/>
  <sheetViews>
    <sheetView view="pageBreakPreview" zoomScale="50" zoomScaleNormal="65" zoomScaleSheetLayoutView="50" zoomScalePageLayoutView="25" workbookViewId="0">
      <pane xSplit="2" ySplit="3" topLeftCell="C4" activePane="bottomRight" state="frozen"/>
      <selection activeCell="Q6" sqref="Q6"/>
      <selection pane="topRight" activeCell="Q6" sqref="Q6"/>
      <selection pane="bottomLeft" activeCell="Q6" sqref="Q6"/>
      <selection pane="bottomRight" activeCell="Z3" sqref="Z3"/>
    </sheetView>
  </sheetViews>
  <sheetFormatPr defaultRowHeight="15" outlineLevelCol="1"/>
  <cols>
    <col min="1" max="1" width="65.6640625" customWidth="1"/>
    <col min="2" max="2" width="32.6640625" style="8" customWidth="1"/>
    <col min="3" max="3" width="20.109375" style="8" customWidth="1"/>
    <col min="4" max="4" width="25.6640625" customWidth="1"/>
    <col min="5" max="5" width="40.6640625" customWidth="1" collapsed="1"/>
    <col min="6" max="6" width="16.6640625" hidden="1" customWidth="1" outlineLevel="1"/>
    <col min="7" max="7" width="13.33203125" hidden="1" customWidth="1" outlineLevel="1"/>
    <col min="8" max="8" width="22.88671875" hidden="1" customWidth="1" outlineLevel="1"/>
    <col min="9" max="9" width="14.6640625" hidden="1" customWidth="1" outlineLevel="1"/>
    <col min="10" max="10" width="6.6640625" hidden="1" customWidth="1" outlineLevel="1"/>
    <col min="11" max="11" width="13.33203125" hidden="1" customWidth="1" outlineLevel="1"/>
    <col min="12" max="12" width="14.44140625" hidden="1" customWidth="1" outlineLevel="1"/>
    <col min="13" max="13" width="15.109375" hidden="1" customWidth="1" outlineLevel="1"/>
    <col min="14" max="14" width="9" hidden="1" customWidth="1" outlineLevel="1"/>
    <col min="15" max="15" width="12.6640625" customWidth="1"/>
    <col min="16" max="16" width="14.6640625" customWidth="1"/>
    <col min="17" max="17" width="11.44140625" customWidth="1"/>
    <col min="18" max="18" width="12.6640625" style="9" customWidth="1"/>
    <col min="19" max="19" width="13.6640625" customWidth="1"/>
    <col min="20" max="20" width="13.5546875" customWidth="1"/>
    <col min="21" max="21" width="14.6640625" customWidth="1"/>
    <col min="22" max="22" width="20.21875" style="5" customWidth="1"/>
  </cols>
  <sheetData>
    <row r="1" spans="1:22" ht="30">
      <c r="A1" s="378" t="s">
        <v>30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</row>
    <row r="2" spans="1:22" s="107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</row>
    <row r="3" spans="1:22" s="107" customFormat="1" ht="77.25" customHeight="1" thickBot="1">
      <c r="A3" s="359"/>
      <c r="B3" s="359"/>
      <c r="C3" s="359"/>
      <c r="D3" s="359"/>
      <c r="E3" s="115" t="s">
        <v>21</v>
      </c>
      <c r="F3" s="115" t="s">
        <v>14</v>
      </c>
      <c r="G3" s="115" t="s">
        <v>6</v>
      </c>
      <c r="H3" s="115" t="s">
        <v>7</v>
      </c>
      <c r="I3" s="115" t="s">
        <v>13</v>
      </c>
      <c r="J3" s="115" t="s">
        <v>12</v>
      </c>
      <c r="K3" s="115" t="s">
        <v>11</v>
      </c>
      <c r="L3" s="115" t="s">
        <v>9</v>
      </c>
      <c r="M3" s="115" t="s">
        <v>16</v>
      </c>
      <c r="N3" s="115" t="s">
        <v>17</v>
      </c>
      <c r="O3" s="115" t="s">
        <v>2</v>
      </c>
      <c r="P3" s="115" t="s">
        <v>35</v>
      </c>
      <c r="Q3" s="115" t="s">
        <v>37</v>
      </c>
      <c r="R3" s="115" t="s">
        <v>36</v>
      </c>
      <c r="S3" s="115" t="s">
        <v>29</v>
      </c>
      <c r="T3" s="115" t="s">
        <v>3</v>
      </c>
      <c r="U3" s="364"/>
      <c r="V3" s="405"/>
    </row>
    <row r="4" spans="1:22" s="5" customFormat="1" ht="69.900000000000006" customHeight="1">
      <c r="A4" s="354"/>
      <c r="B4" s="17" t="s">
        <v>100</v>
      </c>
      <c r="C4" s="186">
        <f>VLOOKUP(B4,Данные!A:Z,26,FALSE)</f>
        <v>1001</v>
      </c>
      <c r="D4" s="342" t="s">
        <v>287</v>
      </c>
      <c r="E4" s="344" t="str">
        <f>CONCATENATE(CONCATENATE($F$3,": ",$F4,CHAR(10),$H$3,": ",$H4,CHAR(10),$I$3,": ",$I4,CHAR(10),$J$3,": ",$J4,CHAR(10),$K$3,": ",$K4,CHAR(10),$L$3,": ",$L4,CHAR(10)),"*Цветовая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4" s="71" t="str">
        <f>VLOOKUP($B4,Данные!$A$1:$U$1009,6,FALSE)</f>
        <v>Д (косинусная)</v>
      </c>
      <c r="G4" s="71" t="str">
        <f>VLOOKUP($B4,Данные!$A$1:$U$1009,8,FALSE)</f>
        <v>Samsung LM281</v>
      </c>
      <c r="H4" s="71" t="str">
        <f>VLOOKUP($B4,Данные!$A$1:$U$1009,12,FALSE)</f>
        <v>Экструдированный алюминиевый профиль (анодированный), прозрачное минеральное стекло**</v>
      </c>
      <c r="I4" s="71" t="str">
        <f>VLOOKUP($B4,Данные!$A$1:$U$1009,4,FALSE)</f>
        <v>176-264В AС</v>
      </c>
      <c r="J4" s="71">
        <f>VLOOKUP($B4,Данные!$A$1:$U$1009,5,FALSE)</f>
        <v>0.95</v>
      </c>
      <c r="K4" s="71" t="str">
        <f>VLOOKUP($B4,Данные!$A$1:$U$1009,13,FALSE)</f>
        <v xml:space="preserve"> -60°...+50° С</v>
      </c>
      <c r="L4" s="71" t="str">
        <f>VLOOKUP($B4,Данные!$A$1:$U$1009,14,FALSE)</f>
        <v>100 000 ч.</v>
      </c>
      <c r="M4" s="71" t="str">
        <f>VLOOKUP($B4,Данные!$A$1:$U$1009,10,FALSE)</f>
        <v>224х103х147</v>
      </c>
      <c r="N4" s="71">
        <f>VLOOKUP($B4,Данные!$A$1:$U$1009,11,FALSE)</f>
        <v>0</v>
      </c>
      <c r="O4" s="91" t="str">
        <f>VLOOKUP($B4,Данные!$A$1:$U$1009,9,FALSE)</f>
        <v>-</v>
      </c>
      <c r="P4" s="33">
        <f>VLOOKUP($B4,Данные!$A$1:$U$1009,2,FALSE)</f>
        <v>32</v>
      </c>
      <c r="Q4" s="42">
        <f>VLOOKUP($B4,Данные!$A$1:$U$1009,3,FALSE)</f>
        <v>4480</v>
      </c>
      <c r="R4" s="100">
        <f>Q4/P4</f>
        <v>140</v>
      </c>
      <c r="S4" s="99" t="str">
        <f>VLOOKUP($B4,Данные!$A$1:$U$1009,15,FALSE)</f>
        <v>5000К 4000К* 3000К*</v>
      </c>
      <c r="T4" s="88">
        <f>VLOOKUP($B4,Данные!$A$1:$U$1009,7,FALSE)</f>
        <v>67</v>
      </c>
      <c r="U4" s="103" t="str">
        <f>VLOOKUP($B4,Данные!$A$1:$U$1009,16,FALSE)</f>
        <v>5 лет</v>
      </c>
      <c r="V4" s="406">
        <v>2420</v>
      </c>
    </row>
    <row r="5" spans="1:22" s="5" customFormat="1" ht="69.900000000000006" customHeight="1">
      <c r="A5" s="355"/>
      <c r="B5" s="18" t="s">
        <v>106</v>
      </c>
      <c r="C5" s="186">
        <f>VLOOKUP(B5,Данные!A:Z,26,FALSE)</f>
        <v>1007</v>
      </c>
      <c r="D5" s="337"/>
      <c r="E5" s="338" t="str">
        <f>CONCATENATE(CONCATENATE($F$3,": ",$F5,CHAR(10),$G$3,": ",$G5,CHAR(10),$H$3,": ",$H5,CHAR(10),$I$3,": ",$I5,CHAR(10),$J$3,": ",$J5,CHAR(10),$K$3,": ",$K5,CHAR(10),$L$3,": ",$L5,CHAR(10)),CONCATENATE($M$3,": ",$M5,CHAR(10),$N$3,": ",$N5))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274х103х147
Вес, кг: 0</v>
      </c>
      <c r="F5" s="72" t="str">
        <f>VLOOKUP($B5,Данные!$A$1:$U$1009,6,FALSE)</f>
        <v>Д (косинусная)</v>
      </c>
      <c r="G5" s="72" t="str">
        <f>VLOOKUP($B5,Данные!$A$1:$U$1009,8,FALSE)</f>
        <v>Samsung LM281</v>
      </c>
      <c r="H5" s="72" t="str">
        <f>VLOOKUP($B5,Данные!$A$1:$U$1009,12,FALSE)</f>
        <v>Экструдированный алюминиевый профиль (анодированный), прозрачное минеральное стекло**</v>
      </c>
      <c r="I5" s="72" t="str">
        <f>VLOOKUP($B5,Данные!$A$1:$U$1009,4,FALSE)</f>
        <v>176-264В AС</v>
      </c>
      <c r="J5" s="72">
        <f>VLOOKUP($B5,Данные!$A$1:$U$1009,5,FALSE)</f>
        <v>0.95</v>
      </c>
      <c r="K5" s="72" t="str">
        <f>VLOOKUP($B5,Данные!$A$1:$U$1009,13,FALSE)</f>
        <v xml:space="preserve"> -60°...+50° С</v>
      </c>
      <c r="L5" s="72" t="str">
        <f>VLOOKUP($B5,Данные!$A$1:$U$1009,14,FALSE)</f>
        <v>100 000 ч.</v>
      </c>
      <c r="M5" s="72" t="str">
        <f>VLOOKUP($B5,Данные!$A$1:$U$1009,10,FALSE)</f>
        <v>274х103х147</v>
      </c>
      <c r="N5" s="72">
        <f>VLOOKUP($B5,Данные!$A$1:$U$1009,11,FALSE)</f>
        <v>0</v>
      </c>
      <c r="O5" s="92" t="str">
        <f>VLOOKUP($B5,Данные!$A$1:$U$1009,9,FALSE)</f>
        <v>-</v>
      </c>
      <c r="P5" s="34">
        <f>VLOOKUP($B5,Данные!$A$1:$U$1009,2,FALSE)</f>
        <v>48</v>
      </c>
      <c r="Q5" s="44">
        <f>VLOOKUP($B5,Данные!$A$1:$U$1009,3,FALSE)</f>
        <v>6720</v>
      </c>
      <c r="R5" s="101">
        <f t="shared" ref="R5:R10" si="0">Q5/P5</f>
        <v>140</v>
      </c>
      <c r="S5" s="89" t="str">
        <f>VLOOKUP($B5,Данные!$A$1:$U$1009,15,FALSE)</f>
        <v>5000К 4000К* 3000К*</v>
      </c>
      <c r="T5" s="89">
        <f>VLOOKUP($B5,Данные!$A$1:$U$1009,7,FALSE)</f>
        <v>67</v>
      </c>
      <c r="U5" s="104" t="str">
        <f>VLOOKUP($B5,Данные!$A$1:$U$1009,16,FALSE)</f>
        <v>5 лет</v>
      </c>
      <c r="V5" s="407">
        <v>2835</v>
      </c>
    </row>
    <row r="6" spans="1:22" s="5" customFormat="1" ht="69.900000000000006" customHeight="1">
      <c r="A6" s="355"/>
      <c r="B6" s="18" t="s">
        <v>112</v>
      </c>
      <c r="C6" s="186">
        <f>VLOOKUP(B6,Данные!A:Z,26,FALSE)</f>
        <v>1013</v>
      </c>
      <c r="D6" s="337"/>
      <c r="E6" s="338"/>
      <c r="F6" s="134" t="str">
        <f>VLOOKUP($B6,Данные!$A$1:$U$1009,6,FALSE)</f>
        <v>Д (косинусная)</v>
      </c>
      <c r="G6" s="134" t="str">
        <f>VLOOKUP($B6,Данные!$A$1:$U$1009,8,FALSE)</f>
        <v>Samsung LM281</v>
      </c>
      <c r="H6" s="134" t="str">
        <f>VLOOKUP($B6,Данные!$A$1:$U$1009,12,FALSE)</f>
        <v>Экструдированный алюминиевый профиль (анодированный), прозрачное минеральное стекло**</v>
      </c>
      <c r="I6" s="134" t="str">
        <f>VLOOKUP($B6,Данные!$A$1:$U$1009,4,FALSE)</f>
        <v>176-264В AС</v>
      </c>
      <c r="J6" s="134">
        <f>VLOOKUP($B6,Данные!$A$1:$U$1009,5,FALSE)</f>
        <v>0.95</v>
      </c>
      <c r="K6" s="134" t="str">
        <f>VLOOKUP($B6,Данные!$A$1:$U$1009,13,FALSE)</f>
        <v xml:space="preserve"> -60°...+50° С</v>
      </c>
      <c r="L6" s="134" t="str">
        <f>VLOOKUP($B6,Данные!$A$1:$U$1009,14,FALSE)</f>
        <v>100 000 ч.</v>
      </c>
      <c r="M6" s="134" t="str">
        <f>VLOOKUP($B6,Данные!$A$1:$U$1009,10,FALSE)</f>
        <v>324х103х147</v>
      </c>
      <c r="N6" s="134">
        <f>VLOOKUP($B6,Данные!$A$1:$U$1009,11,FALSE)</f>
        <v>0</v>
      </c>
      <c r="O6" s="92" t="str">
        <f>VLOOKUP($B6,Данные!$A$1:$U$1009,9,FALSE)</f>
        <v>-</v>
      </c>
      <c r="P6" s="34">
        <f>VLOOKUP($B6,Данные!$A$1:$U$1009,2,FALSE)</f>
        <v>62</v>
      </c>
      <c r="Q6" s="132">
        <f>VLOOKUP($B6,Данные!$A$1:$U$1009,3,FALSE)</f>
        <v>8680</v>
      </c>
      <c r="R6" s="101">
        <f t="shared" ref="R6:R7" si="1">Q6/P6</f>
        <v>140</v>
      </c>
      <c r="S6" s="89" t="str">
        <f>VLOOKUP($B6,Данные!$A$1:$U$1009,15,FALSE)</f>
        <v>5000К 4000К* 3000К*</v>
      </c>
      <c r="T6" s="89">
        <f>VLOOKUP($B6,Данные!$A$1:$U$1009,7,FALSE)</f>
        <v>67</v>
      </c>
      <c r="U6" s="104" t="str">
        <f>VLOOKUP($B6,Данные!$A$1:$U$1009,16,FALSE)</f>
        <v>5 лет</v>
      </c>
      <c r="V6" s="407">
        <v>3200</v>
      </c>
    </row>
    <row r="7" spans="1:22" s="5" customFormat="1" ht="69.900000000000006" customHeight="1">
      <c r="A7" s="355"/>
      <c r="B7" s="18" t="s">
        <v>315</v>
      </c>
      <c r="C7" s="186">
        <f>VLOOKUP(B7,Данные!A:Z,26,FALSE)</f>
        <v>1019</v>
      </c>
      <c r="D7" s="337"/>
      <c r="E7" s="338"/>
      <c r="F7" s="134" t="str">
        <f>VLOOKUP($B7,Данные!$A$1:$U$1009,6,FALSE)</f>
        <v>Д (косинусная)</v>
      </c>
      <c r="G7" s="134" t="str">
        <f>VLOOKUP($B7,Данные!$A$1:$U$1009,8,FALSE)</f>
        <v>Samsung LM281</v>
      </c>
      <c r="H7" s="134" t="str">
        <f>VLOOKUP($B7,Данные!$A$1:$U$1009,12,FALSE)</f>
        <v>Экструдированный алюминиевый профиль (анодированный), прозрачное минеральное стекло**</v>
      </c>
      <c r="I7" s="134" t="str">
        <f>VLOOKUP($B7,Данные!$A$1:$U$1009,4,FALSE)</f>
        <v>176-264В AС</v>
      </c>
      <c r="J7" s="134">
        <f>VLOOKUP($B7,Данные!$A$1:$U$1009,5,FALSE)</f>
        <v>0.95</v>
      </c>
      <c r="K7" s="134" t="str">
        <f>VLOOKUP($B7,Данные!$A$1:$U$1009,13,FALSE)</f>
        <v xml:space="preserve"> -60°...+50° С</v>
      </c>
      <c r="L7" s="134" t="str">
        <f>VLOOKUP($B7,Данные!$A$1:$U$1009,14,FALSE)</f>
        <v>100 000 ч.</v>
      </c>
      <c r="M7" s="134" t="str">
        <f>VLOOKUP($B7,Данные!$A$1:$U$1009,10,FALSE)</f>
        <v>464х103х147</v>
      </c>
      <c r="N7" s="134">
        <f>VLOOKUP($B7,Данные!$A$1:$U$1009,11,FALSE)</f>
        <v>0</v>
      </c>
      <c r="O7" s="92" t="str">
        <f>VLOOKUP($B7,Данные!$A$1:$U$1009,9,FALSE)</f>
        <v>-</v>
      </c>
      <c r="P7" s="34">
        <f>VLOOKUP($B7,Данные!$A$1:$U$1009,2,FALSE)</f>
        <v>80</v>
      </c>
      <c r="Q7" s="132">
        <f>VLOOKUP($B7,Данные!$A$1:$U$1009,3,FALSE)</f>
        <v>11200</v>
      </c>
      <c r="R7" s="101">
        <f t="shared" si="1"/>
        <v>140</v>
      </c>
      <c r="S7" s="89" t="str">
        <f>VLOOKUP($B7,Данные!$A$1:$U$1009,15,FALSE)</f>
        <v>5000К 4000К* 3000К*</v>
      </c>
      <c r="T7" s="89">
        <f>VLOOKUP($B7,Данные!$A$1:$U$1009,7,FALSE)</f>
        <v>67</v>
      </c>
      <c r="U7" s="104" t="str">
        <f>VLOOKUP($B7,Данные!$A$1:$U$1009,16,FALSE)</f>
        <v>5 лет</v>
      </c>
      <c r="V7" s="407">
        <v>4505</v>
      </c>
    </row>
    <row r="8" spans="1:22" s="5" customFormat="1" ht="69.900000000000006" customHeight="1">
      <c r="A8" s="355"/>
      <c r="B8" s="18" t="s">
        <v>118</v>
      </c>
      <c r="C8" s="186">
        <f>VLOOKUP(B8,Данные!A:Z,26,FALSE)</f>
        <v>1029</v>
      </c>
      <c r="D8" s="337"/>
      <c r="E8" s="338" t="str">
        <f>CONCATENATE(CONCATENATE($F$3,": ",$F8,CHAR(10),$G$3,": ",$G8,CHAR(10),$H$3,": ",$H8,CHAR(10),$I$3,": ",$I8,CHAR(10),$J$3,": ",$J8,CHAR(10),$K$3,": ",$K8,CHAR(10),$L$3,": ",$L8,CHAR(10)),CONCATENATE($M$3,": ",$M8,CHAR(10),$N$3,": ",$N8))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524х103х147
Вес, кг: 0</v>
      </c>
      <c r="F8" s="72" t="str">
        <f>VLOOKUP($B8,Данные!$A$1:$U$1009,6,FALSE)</f>
        <v>Д (косинусная)</v>
      </c>
      <c r="G8" s="72" t="str">
        <f>VLOOKUP($B8,Данные!$A$1:$U$1009,8,FALSE)</f>
        <v>Samsung LM281</v>
      </c>
      <c r="H8" s="72" t="str">
        <f>VLOOKUP($B8,Данные!$A$1:$U$1009,12,FALSE)</f>
        <v>Экструдированный алюминиевый профиль (анодированный), прозрачное минеральное стекло**</v>
      </c>
      <c r="I8" s="72" t="str">
        <f>VLOOKUP($B8,Данные!$A$1:$U$1009,4,FALSE)</f>
        <v>176-264В AС</v>
      </c>
      <c r="J8" s="72">
        <f>VLOOKUP($B8,Данные!$A$1:$U$1009,5,FALSE)</f>
        <v>0.95</v>
      </c>
      <c r="K8" s="72" t="str">
        <f>VLOOKUP($B8,Данные!$A$1:$U$1009,13,FALSE)</f>
        <v xml:space="preserve"> -60°...+50° С</v>
      </c>
      <c r="L8" s="72" t="str">
        <f>VLOOKUP($B8,Данные!$A$1:$U$1009,14,FALSE)</f>
        <v>100 000 ч.</v>
      </c>
      <c r="M8" s="72" t="str">
        <f>VLOOKUP($B8,Данные!$A$1:$U$1009,10,FALSE)</f>
        <v>524х103х147</v>
      </c>
      <c r="N8" s="72">
        <f>VLOOKUP($B8,Данные!$A$1:$U$1009,11,FALSE)</f>
        <v>0</v>
      </c>
      <c r="O8" s="92" t="str">
        <f>VLOOKUP($B8,Данные!$A$1:$U$1009,9,FALSE)</f>
        <v>-</v>
      </c>
      <c r="P8" s="34">
        <f>VLOOKUP($B8,Данные!$A$1:$U$1009,2,FALSE)</f>
        <v>96</v>
      </c>
      <c r="Q8" s="44">
        <f>VLOOKUP($B8,Данные!$A$1:$U$1009,3,FALSE)</f>
        <v>13440</v>
      </c>
      <c r="R8" s="101">
        <f t="shared" si="0"/>
        <v>140</v>
      </c>
      <c r="S8" s="89" t="str">
        <f>VLOOKUP($B8,Данные!$A$1:$U$1009,15,FALSE)</f>
        <v>5000К 4000К* 3000К*</v>
      </c>
      <c r="T8" s="89">
        <f>VLOOKUP($B8,Данные!$A$1:$U$1009,7,FALSE)</f>
        <v>67</v>
      </c>
      <c r="U8" s="104" t="str">
        <f>VLOOKUP($B8,Данные!$A$1:$U$1009,16,FALSE)</f>
        <v>5 лет</v>
      </c>
      <c r="V8" s="407">
        <v>4740</v>
      </c>
    </row>
    <row r="9" spans="1:22" s="5" customFormat="1" ht="69.900000000000006" customHeight="1" thickBot="1">
      <c r="A9" s="356"/>
      <c r="B9" s="15" t="s">
        <v>344</v>
      </c>
      <c r="C9" s="187">
        <f>VLOOKUP(B9,Данные!A:Z,26,FALSE)</f>
        <v>1035</v>
      </c>
      <c r="D9" s="343"/>
      <c r="E9" s="345" t="str">
        <f>CONCATENATE(CONCATENATE($F$3,": ",$F9,CHAR(10),$G$3,": ",$G9,CHAR(10),$H$3,": ",$H9,CHAR(10),$I$3,": ",$I9,CHAR(10),$J$3,": ",$J9,CHAR(10),$K$3,": ",$K9,CHAR(10),$L$3,": ",$L9,CHAR(10)),CONCATENATE($M$3,": ",$M9,CHAR(10),$N$3,": ",$N9))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624х103х147
Вес, кг: 0</v>
      </c>
      <c r="F9" s="73" t="str">
        <f>VLOOKUP($B9,Данные!$A$1:$U$1009,6,FALSE)</f>
        <v>Д (косинусная)</v>
      </c>
      <c r="G9" s="73" t="str">
        <f>VLOOKUP($B9,Данные!$A$1:$U$1009,8,FALSE)</f>
        <v>Samsung LM281</v>
      </c>
      <c r="H9" s="73" t="str">
        <f>VLOOKUP($B9,Данные!$A$1:$U$1009,12,FALSE)</f>
        <v>Экструдированный алюминиевый профиль (анодированный), прозрачное минеральное стекло**</v>
      </c>
      <c r="I9" s="73" t="str">
        <f>VLOOKUP($B9,Данные!$A$1:$U$1009,4,FALSE)</f>
        <v>176-264В AС</v>
      </c>
      <c r="J9" s="73">
        <f>VLOOKUP($B9,Данные!$A$1:$U$1009,5,FALSE)</f>
        <v>0.95</v>
      </c>
      <c r="K9" s="73" t="str">
        <f>VLOOKUP($B9,Данные!$A$1:$U$1009,13,FALSE)</f>
        <v xml:space="preserve"> -60°...+50° С</v>
      </c>
      <c r="L9" s="73" t="str">
        <f>VLOOKUP($B9,Данные!$A$1:$U$1009,14,FALSE)</f>
        <v>100 000 ч.</v>
      </c>
      <c r="M9" s="73" t="str">
        <f>VLOOKUP($B9,Данные!$A$1:$U$1009,10,FALSE)</f>
        <v>624х103х147</v>
      </c>
      <c r="N9" s="73">
        <f>VLOOKUP($B9,Данные!$A$1:$U$1009,11,FALSE)</f>
        <v>0</v>
      </c>
      <c r="O9" s="93" t="str">
        <f>VLOOKUP($B9,Данные!$A$1:$U$1009,9,FALSE)</f>
        <v>-</v>
      </c>
      <c r="P9" s="74">
        <f>VLOOKUP($B9,Данные!$A$1:$U$1009,2,FALSE)</f>
        <v>124</v>
      </c>
      <c r="Q9" s="43">
        <f>VLOOKUP($B9,Данные!$A$1:$U$1009,3,FALSE)</f>
        <v>17360</v>
      </c>
      <c r="R9" s="102">
        <f t="shared" si="0"/>
        <v>140</v>
      </c>
      <c r="S9" s="90" t="str">
        <f>VLOOKUP($B9,Данные!$A$1:$U$1009,15,FALSE)</f>
        <v>5000К 4000К* 3000К*</v>
      </c>
      <c r="T9" s="90">
        <f>VLOOKUP($B9,Данные!$A$1:$U$1009,7,FALSE)</f>
        <v>67</v>
      </c>
      <c r="U9" s="105" t="str">
        <f>VLOOKUP($B9,Данные!$A$1:$U$1009,16,FALSE)</f>
        <v>5 лет</v>
      </c>
      <c r="V9" s="408">
        <v>6290</v>
      </c>
    </row>
    <row r="10" spans="1:22" s="5" customFormat="1" ht="69.900000000000006" customHeight="1">
      <c r="A10" s="354"/>
      <c r="B10" s="17" t="s">
        <v>101</v>
      </c>
      <c r="C10" s="185">
        <f>VLOOKUP(B10,Данные!A:Z,26,FALSE)</f>
        <v>1002</v>
      </c>
      <c r="D10" s="342" t="s">
        <v>287</v>
      </c>
      <c r="E10" s="344" t="str">
        <f t="shared" ref="E10" si="2">CONCATENATE(CONCATENATE($F$3,": ",$F10,CHAR(10),$H$3,": ",$H10,CHAR(10),$I$3,": ",$I10,CHAR(10),$J$3,": ",$J10,CHAR(10),$K$3,": ",$K10,CHAR(10),$L$3,": ",$L10,CHAR(10)),"*Цветовая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10" s="71" t="str">
        <f>VLOOKUP($B10,Данные!$A$1:$U$1009,6,FALSE)</f>
        <v>Д (косинусная)</v>
      </c>
      <c r="G10" s="71" t="str">
        <f>VLOOKUP($B10,Данные!$A$1:$U$1009,8,FALSE)</f>
        <v>Samsung LM281</v>
      </c>
      <c r="H10" s="71" t="str">
        <f>VLOOKUP($B10,Данные!$A$1:$U$1009,12,FALSE)</f>
        <v>Экструдированный алюминиевый профиль (анодированный), прозрачное минеральное стекло**</v>
      </c>
      <c r="I10" s="71" t="str">
        <f>VLOOKUP($B10,Данные!$A$1:$U$1009,4,FALSE)</f>
        <v>176-264В AС</v>
      </c>
      <c r="J10" s="71">
        <f>VLOOKUP($B10,Данные!$A$1:$U$1009,5,FALSE)</f>
        <v>0.95</v>
      </c>
      <c r="K10" s="71" t="str">
        <f>VLOOKUP($B10,Данные!$A$1:$U$1009,13,FALSE)</f>
        <v xml:space="preserve"> -60°...+50° С</v>
      </c>
      <c r="L10" s="71" t="str">
        <f>VLOOKUP($B10,Данные!$A$1:$U$1009,14,FALSE)</f>
        <v>100 000 ч.</v>
      </c>
      <c r="M10" s="71" t="str">
        <f>VLOOKUP($B10,Данные!$A$1:$U$1009,10,FALSE)</f>
        <v>224х100х126</v>
      </c>
      <c r="N10" s="71">
        <f>VLOOKUP($B10,Данные!$A$1:$U$1009,11,FALSE)</f>
        <v>0</v>
      </c>
      <c r="O10" s="91" t="str">
        <f>VLOOKUP($B10,Данные!$A$1:$U$1009,9,FALSE)</f>
        <v>-</v>
      </c>
      <c r="P10" s="33">
        <f>VLOOKUP($B10,Данные!$A$1:$U$1009,2,FALSE)</f>
        <v>32</v>
      </c>
      <c r="Q10" s="42">
        <f>VLOOKUP($B10,Данные!$A$1:$U$1009,3,FALSE)</f>
        <v>4480</v>
      </c>
      <c r="R10" s="100">
        <f t="shared" si="0"/>
        <v>140</v>
      </c>
      <c r="S10" s="88" t="str">
        <f>VLOOKUP($B10,Данные!$A$1:$U$1009,15,FALSE)</f>
        <v>5000К 4000К* 3000К*</v>
      </c>
      <c r="T10" s="88">
        <f>VLOOKUP($B10,Данные!$A$1:$U$1009,7,FALSE)</f>
        <v>67</v>
      </c>
      <c r="U10" s="103" t="str">
        <f>VLOOKUP($B10,Данные!$A$1:$U$1009,16,FALSE)</f>
        <v>5 лет</v>
      </c>
      <c r="V10" s="406">
        <v>2420</v>
      </c>
    </row>
    <row r="11" spans="1:22" s="5" customFormat="1" ht="69.900000000000006" customHeight="1">
      <c r="A11" s="355"/>
      <c r="B11" s="18" t="s">
        <v>107</v>
      </c>
      <c r="C11" s="186">
        <f>VLOOKUP(B11,Данные!A:Z,26,FALSE)</f>
        <v>1008</v>
      </c>
      <c r="D11" s="337"/>
      <c r="E11" s="338" t="str">
        <f t="shared" ref="E11:E15" si="3">CONCATENATE(CONCATENATE($F$3,": ",$F11,CHAR(10),$G$3,": ",$G11,CHAR(10),$H$3,": ",$H11,CHAR(10),$I$3,": ",$I11,CHAR(10),$J$3,": ",$J11,CHAR(10),$K$3,": ",$K11,CHAR(10),$L$3,": ",$L11,CHAR(10)),CONCATENATE($M$3,": ",$M11,CHAR(10),$N$3,": ",$N11))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274х100х126
Вес, кг: 0</v>
      </c>
      <c r="F11" s="72" t="str">
        <f>VLOOKUP($B11,Данные!$A$1:$U$1009,6,FALSE)</f>
        <v>Д (косинусная)</v>
      </c>
      <c r="G11" s="72" t="str">
        <f>VLOOKUP($B11,Данные!$A$1:$U$1009,8,FALSE)</f>
        <v>Samsung LM281</v>
      </c>
      <c r="H11" s="72" t="str">
        <f>VLOOKUP($B11,Данные!$A$1:$U$1009,12,FALSE)</f>
        <v>Экструдированный алюминиевый профиль (анодированный), прозрачное минеральное стекло**</v>
      </c>
      <c r="I11" s="72" t="str">
        <f>VLOOKUP($B11,Данные!$A$1:$U$1009,4,FALSE)</f>
        <v>176-264В AС</v>
      </c>
      <c r="J11" s="72">
        <f>VLOOKUP($B11,Данные!$A$1:$U$1009,5,FALSE)</f>
        <v>0.95</v>
      </c>
      <c r="K11" s="72" t="str">
        <f>VLOOKUP($B11,Данные!$A$1:$U$1009,13,FALSE)</f>
        <v xml:space="preserve"> -60°...+50° С</v>
      </c>
      <c r="L11" s="72" t="str">
        <f>VLOOKUP($B11,Данные!$A$1:$U$1009,14,FALSE)</f>
        <v>100 000 ч.</v>
      </c>
      <c r="M11" s="72" t="str">
        <f>VLOOKUP($B11,Данные!$A$1:$U$1009,10,FALSE)</f>
        <v>274х100х126</v>
      </c>
      <c r="N11" s="72">
        <f>VLOOKUP($B11,Данные!$A$1:$U$1009,11,FALSE)</f>
        <v>0</v>
      </c>
      <c r="O11" s="92" t="str">
        <f>VLOOKUP($B11,Данные!$A$1:$U$1009,9,FALSE)</f>
        <v>-</v>
      </c>
      <c r="P11" s="34">
        <f>VLOOKUP($B11,Данные!$A$1:$U$1009,2,FALSE)</f>
        <v>48</v>
      </c>
      <c r="Q11" s="44">
        <f>VLOOKUP($B11,Данные!$A$1:$U$1009,3,FALSE)</f>
        <v>6720</v>
      </c>
      <c r="R11" s="101">
        <f t="shared" ref="R11:R72" si="4">Q11/P11</f>
        <v>140</v>
      </c>
      <c r="S11" s="89" t="str">
        <f>VLOOKUP($B11,Данные!$A$1:$U$1009,15,FALSE)</f>
        <v>5000К 4000К* 3000К*</v>
      </c>
      <c r="T11" s="89">
        <f>VLOOKUP($B11,Данные!$A$1:$U$1009,7,FALSE)</f>
        <v>67</v>
      </c>
      <c r="U11" s="104" t="str">
        <f>VLOOKUP($B11,Данные!$A$1:$U$1009,16,FALSE)</f>
        <v>5 лет</v>
      </c>
      <c r="V11" s="407">
        <v>2835</v>
      </c>
    </row>
    <row r="12" spans="1:22" s="5" customFormat="1" ht="69.900000000000006" customHeight="1">
      <c r="A12" s="355"/>
      <c r="B12" s="18" t="s">
        <v>113</v>
      </c>
      <c r="C12" s="186">
        <f>VLOOKUP(B12,Данные!A:Z,26,FALSE)</f>
        <v>1014</v>
      </c>
      <c r="D12" s="337"/>
      <c r="E12" s="338"/>
      <c r="F12" s="134" t="str">
        <f>VLOOKUP($B12,Данные!$A$1:$U$1009,6,FALSE)</f>
        <v>Д (косинусная)</v>
      </c>
      <c r="G12" s="134" t="str">
        <f>VLOOKUP($B12,Данные!$A$1:$U$1009,8,FALSE)</f>
        <v>Samsung LM281</v>
      </c>
      <c r="H12" s="134" t="str">
        <f>VLOOKUP($B12,Данные!$A$1:$U$1009,12,FALSE)</f>
        <v>Экструдированный алюминиевый профиль (анодированный), прозрачное минеральное стекло**</v>
      </c>
      <c r="I12" s="134" t="str">
        <f>VLOOKUP($B12,Данные!$A$1:$U$1009,4,FALSE)</f>
        <v>176-264В AС</v>
      </c>
      <c r="J12" s="134">
        <f>VLOOKUP($B12,Данные!$A$1:$U$1009,5,FALSE)</f>
        <v>0.95</v>
      </c>
      <c r="K12" s="134" t="str">
        <f>VLOOKUP($B12,Данные!$A$1:$U$1009,13,FALSE)</f>
        <v xml:space="preserve"> -60°...+50° С</v>
      </c>
      <c r="L12" s="134" t="str">
        <f>VLOOKUP($B12,Данные!$A$1:$U$1009,14,FALSE)</f>
        <v>100 000 ч.</v>
      </c>
      <c r="M12" s="134" t="str">
        <f>VLOOKUP($B12,Данные!$A$1:$U$1009,10,FALSE)</f>
        <v>324х100х126</v>
      </c>
      <c r="N12" s="134">
        <f>VLOOKUP($B12,Данные!$A$1:$U$1009,11,FALSE)</f>
        <v>0</v>
      </c>
      <c r="O12" s="92" t="str">
        <f>VLOOKUP($B12,Данные!$A$1:$U$1009,9,FALSE)</f>
        <v>-</v>
      </c>
      <c r="P12" s="34">
        <f>VLOOKUP($B12,Данные!$A$1:$U$1009,2,FALSE)</f>
        <v>62</v>
      </c>
      <c r="Q12" s="132">
        <f>VLOOKUP($B12,Данные!$A$1:$U$1009,3,FALSE)</f>
        <v>8680</v>
      </c>
      <c r="R12" s="101">
        <f t="shared" ref="R12:R13" si="5">Q12/P12</f>
        <v>140</v>
      </c>
      <c r="S12" s="89" t="str">
        <f>VLOOKUP($B12,Данные!$A$1:$U$1009,15,FALSE)</f>
        <v>5000К 4000К* 3000К*</v>
      </c>
      <c r="T12" s="89">
        <f>VLOOKUP($B12,Данные!$A$1:$U$1009,7,FALSE)</f>
        <v>67</v>
      </c>
      <c r="U12" s="104" t="str">
        <f>VLOOKUP($B12,Данные!$A$1:$U$1009,16,FALSE)</f>
        <v>5 лет</v>
      </c>
      <c r="V12" s="407">
        <v>3200</v>
      </c>
    </row>
    <row r="13" spans="1:22" s="5" customFormat="1" ht="69.900000000000006" customHeight="1">
      <c r="A13" s="355"/>
      <c r="B13" s="18" t="s">
        <v>317</v>
      </c>
      <c r="C13" s="186">
        <f>VLOOKUP(B13,Данные!A:Z,26,FALSE)</f>
        <v>1020</v>
      </c>
      <c r="D13" s="337"/>
      <c r="E13" s="338"/>
      <c r="F13" s="134" t="str">
        <f>VLOOKUP($B13,Данные!$A$1:$U$1009,6,FALSE)</f>
        <v>Д (косинусная)</v>
      </c>
      <c r="G13" s="134" t="str">
        <f>VLOOKUP($B13,Данные!$A$1:$U$1009,8,FALSE)</f>
        <v>Samsung LM281</v>
      </c>
      <c r="H13" s="134" t="str">
        <f>VLOOKUP($B13,Данные!$A$1:$U$1009,12,FALSE)</f>
        <v>Экструдированный алюминиевый профиль (анодированный), прозрачное минеральное стекло**</v>
      </c>
      <c r="I13" s="134" t="str">
        <f>VLOOKUP($B13,Данные!$A$1:$U$1009,4,FALSE)</f>
        <v>176-264В AС</v>
      </c>
      <c r="J13" s="134">
        <f>VLOOKUP($B13,Данные!$A$1:$U$1009,5,FALSE)</f>
        <v>0.95</v>
      </c>
      <c r="K13" s="134" t="str">
        <f>VLOOKUP($B13,Данные!$A$1:$U$1009,13,FALSE)</f>
        <v xml:space="preserve"> -60°...+50° С</v>
      </c>
      <c r="L13" s="134" t="str">
        <f>VLOOKUP($B13,Данные!$A$1:$U$1009,14,FALSE)</f>
        <v>100 000 ч.</v>
      </c>
      <c r="M13" s="134" t="str">
        <f>VLOOKUP($B13,Данные!$A$1:$U$1009,10,FALSE)</f>
        <v>464х100х126</v>
      </c>
      <c r="N13" s="134">
        <f>VLOOKUP($B13,Данные!$A$1:$U$1009,11,FALSE)</f>
        <v>0</v>
      </c>
      <c r="O13" s="92" t="str">
        <f>VLOOKUP($B13,Данные!$A$1:$U$1009,9,FALSE)</f>
        <v>-</v>
      </c>
      <c r="P13" s="34">
        <f>VLOOKUP($B13,Данные!$A$1:$U$1009,2,FALSE)</f>
        <v>80</v>
      </c>
      <c r="Q13" s="132">
        <f>VLOOKUP($B13,Данные!$A$1:$U$1009,3,FALSE)</f>
        <v>11200</v>
      </c>
      <c r="R13" s="101">
        <f t="shared" si="5"/>
        <v>140</v>
      </c>
      <c r="S13" s="89" t="str">
        <f>VLOOKUP($B13,Данные!$A$1:$U$1009,15,FALSE)</f>
        <v>5000К 4000К* 3000К*</v>
      </c>
      <c r="T13" s="89">
        <f>VLOOKUP($B13,Данные!$A$1:$U$1009,7,FALSE)</f>
        <v>67</v>
      </c>
      <c r="U13" s="104" t="str">
        <f>VLOOKUP($B13,Данные!$A$1:$U$1009,16,FALSE)</f>
        <v>5 лет</v>
      </c>
      <c r="V13" s="407">
        <v>4505</v>
      </c>
    </row>
    <row r="14" spans="1:22" s="5" customFormat="1" ht="69.900000000000006" customHeight="1">
      <c r="A14" s="355"/>
      <c r="B14" s="18" t="s">
        <v>119</v>
      </c>
      <c r="C14" s="186">
        <f>VLOOKUP(B14,Данные!A:Z,26,FALSE)</f>
        <v>1030</v>
      </c>
      <c r="D14" s="337"/>
      <c r="E14" s="338" t="str">
        <f t="shared" si="3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524х100х126
Вес, кг: 0</v>
      </c>
      <c r="F14" s="72" t="str">
        <f>VLOOKUP($B14,Данные!$A$1:$U$1009,6,FALSE)</f>
        <v>Д (косинусная)</v>
      </c>
      <c r="G14" s="72" t="str">
        <f>VLOOKUP($B14,Данные!$A$1:$U$1009,8,FALSE)</f>
        <v>Samsung LM281</v>
      </c>
      <c r="H14" s="72" t="str">
        <f>VLOOKUP($B14,Данные!$A$1:$U$1009,12,FALSE)</f>
        <v>Экструдированный алюминиевый профиль (анодированный), прозрачное минеральное стекло**</v>
      </c>
      <c r="I14" s="72" t="str">
        <f>VLOOKUP($B14,Данные!$A$1:$U$1009,4,FALSE)</f>
        <v>176-264В AС</v>
      </c>
      <c r="J14" s="72">
        <f>VLOOKUP($B14,Данные!$A$1:$U$1009,5,FALSE)</f>
        <v>0.95</v>
      </c>
      <c r="K14" s="72" t="str">
        <f>VLOOKUP($B14,Данные!$A$1:$U$1009,13,FALSE)</f>
        <v xml:space="preserve"> -60°...+50° С</v>
      </c>
      <c r="L14" s="72" t="str">
        <f>VLOOKUP($B14,Данные!$A$1:$U$1009,14,FALSE)</f>
        <v>100 000 ч.</v>
      </c>
      <c r="M14" s="72" t="str">
        <f>VLOOKUP($B14,Данные!$A$1:$U$1009,10,FALSE)</f>
        <v>524х100х126</v>
      </c>
      <c r="N14" s="72">
        <f>VLOOKUP($B14,Данные!$A$1:$U$1009,11,FALSE)</f>
        <v>0</v>
      </c>
      <c r="O14" s="92" t="str">
        <f>VLOOKUP($B14,Данные!$A$1:$U$1009,9,FALSE)</f>
        <v>-</v>
      </c>
      <c r="P14" s="34">
        <f>VLOOKUP($B14,Данные!$A$1:$U$1009,2,FALSE)</f>
        <v>96</v>
      </c>
      <c r="Q14" s="44">
        <f>VLOOKUP($B14,Данные!$A$1:$U$1009,3,FALSE)</f>
        <v>13440</v>
      </c>
      <c r="R14" s="101">
        <f t="shared" si="4"/>
        <v>140</v>
      </c>
      <c r="S14" s="89" t="str">
        <f>VLOOKUP($B14,Данные!$A$1:$U$1009,15,FALSE)</f>
        <v>5000К 4000К* 3000К*</v>
      </c>
      <c r="T14" s="89">
        <f>VLOOKUP($B14,Данные!$A$1:$U$1009,7,FALSE)</f>
        <v>67</v>
      </c>
      <c r="U14" s="104" t="str">
        <f>VLOOKUP($B14,Данные!$A$1:$U$1009,16,FALSE)</f>
        <v>5 лет</v>
      </c>
      <c r="V14" s="407">
        <v>4740</v>
      </c>
    </row>
    <row r="15" spans="1:22" s="5" customFormat="1" ht="69.900000000000006" customHeight="1" thickBot="1">
      <c r="A15" s="356"/>
      <c r="B15" s="15" t="s">
        <v>343</v>
      </c>
      <c r="C15" s="187">
        <f>VLOOKUP(B15,Данные!A:Z,26,FALSE)</f>
        <v>1036</v>
      </c>
      <c r="D15" s="343"/>
      <c r="E15" s="345" t="str">
        <f t="shared" si="3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624х100х126
Вес, кг: 0</v>
      </c>
      <c r="F15" s="73" t="str">
        <f>VLOOKUP($B15,Данные!$A$1:$U$1009,6,FALSE)</f>
        <v>Д (косинусная)</v>
      </c>
      <c r="G15" s="73" t="str">
        <f>VLOOKUP($B15,Данные!$A$1:$U$1009,8,FALSE)</f>
        <v>Samsung LM281</v>
      </c>
      <c r="H15" s="73" t="str">
        <f>VLOOKUP($B15,Данные!$A$1:$U$1009,12,FALSE)</f>
        <v>Экструдированный алюминиевый профиль (анодированный), прозрачное минеральное стекло**</v>
      </c>
      <c r="I15" s="73" t="str">
        <f>VLOOKUP($B15,Данные!$A$1:$U$1009,4,FALSE)</f>
        <v>176-264В AС</v>
      </c>
      <c r="J15" s="73">
        <f>VLOOKUP($B15,Данные!$A$1:$U$1009,5,FALSE)</f>
        <v>0.95</v>
      </c>
      <c r="K15" s="73" t="str">
        <f>VLOOKUP($B15,Данные!$A$1:$U$1009,13,FALSE)</f>
        <v xml:space="preserve"> -60°...+50° С</v>
      </c>
      <c r="L15" s="73" t="str">
        <f>VLOOKUP($B15,Данные!$A$1:$U$1009,14,FALSE)</f>
        <v>100 000 ч.</v>
      </c>
      <c r="M15" s="73" t="str">
        <f>VLOOKUP($B15,Данные!$A$1:$U$1009,10,FALSE)</f>
        <v>624х100х126</v>
      </c>
      <c r="N15" s="73">
        <f>VLOOKUP($B15,Данные!$A$1:$U$1009,11,FALSE)</f>
        <v>0</v>
      </c>
      <c r="O15" s="93" t="str">
        <f>VLOOKUP($B15,Данные!$A$1:$U$1009,9,FALSE)</f>
        <v>-</v>
      </c>
      <c r="P15" s="74">
        <f>VLOOKUP($B15,Данные!$A$1:$U$1009,2,FALSE)</f>
        <v>124</v>
      </c>
      <c r="Q15" s="43">
        <f>VLOOKUP($B15,Данные!$A$1:$U$1009,3,FALSE)</f>
        <v>17360</v>
      </c>
      <c r="R15" s="102">
        <f t="shared" si="4"/>
        <v>140</v>
      </c>
      <c r="S15" s="90" t="str">
        <f>VLOOKUP($B15,Данные!$A$1:$U$1009,15,FALSE)</f>
        <v>5000К 4000К* 3000К*</v>
      </c>
      <c r="T15" s="90">
        <f>VLOOKUP($B15,Данные!$A$1:$U$1009,7,FALSE)</f>
        <v>67</v>
      </c>
      <c r="U15" s="105" t="str">
        <f>VLOOKUP($B15,Данные!$A$1:$U$1009,16,FALSE)</f>
        <v>5 лет</v>
      </c>
      <c r="V15" s="408">
        <v>6290</v>
      </c>
    </row>
    <row r="16" spans="1:22" s="5" customFormat="1" ht="69.900000000000006" customHeight="1">
      <c r="A16" s="365"/>
      <c r="B16" s="17" t="s">
        <v>102</v>
      </c>
      <c r="C16" s="185">
        <f>VLOOKUP(B16,Данные!A:Z,26,FALSE)</f>
        <v>1003</v>
      </c>
      <c r="D16" s="342" t="s">
        <v>287</v>
      </c>
      <c r="E16" s="344" t="str">
        <f t="shared" ref="E16" si="6">CONCATENATE(CONCATENATE($F$3,": ",$F16,CHAR(10),$H$3,": ",$H16,CHAR(10),$I$3,": ",$I16,CHAR(10),$J$3,": ",$J16,CHAR(10),$K$3,": ",$K16,CHAR(10),$L$3,": ",$L16,CHAR(10)),"*Цветовая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16" s="71" t="str">
        <f>VLOOKUP($B16,Данные!$A$1:$U$1009,6,FALSE)</f>
        <v>Д (косинусная)</v>
      </c>
      <c r="G16" s="71" t="str">
        <f>VLOOKUP($B16,Данные!$A$1:$U$1009,8,FALSE)</f>
        <v>Samsung LM281</v>
      </c>
      <c r="H16" s="71" t="str">
        <f>VLOOKUP($B16,Данные!$A$1:$U$1009,12,FALSE)</f>
        <v>Экструдированный алюминиевый профиль (анодированный), прозрачное минеральное стекло**</v>
      </c>
      <c r="I16" s="71" t="str">
        <f>VLOOKUP($B16,Данные!$A$1:$U$1009,4,FALSE)</f>
        <v>176-264В AС</v>
      </c>
      <c r="J16" s="71">
        <f>VLOOKUP($B16,Данные!$A$1:$U$1009,5,FALSE)</f>
        <v>0.95</v>
      </c>
      <c r="K16" s="71" t="str">
        <f>VLOOKUP($B16,Данные!$A$1:$U$1009,13,FALSE)</f>
        <v xml:space="preserve"> -60°...+50° С</v>
      </c>
      <c r="L16" s="71" t="str">
        <f>VLOOKUP($B16,Данные!$A$1:$U$1009,14,FALSE)</f>
        <v>100 000 ч.</v>
      </c>
      <c r="M16" s="71" t="str">
        <f>VLOOKUP($B16,Данные!$A$1:$U$1009,10,FALSE)</f>
        <v>224х210х147</v>
      </c>
      <c r="N16" s="71">
        <f>VLOOKUP($B16,Данные!$A$1:$U$1009,11,FALSE)</f>
        <v>0</v>
      </c>
      <c r="O16" s="91" t="str">
        <f>VLOOKUP($B16,Данные!$A$1:$U$1009,9,FALSE)</f>
        <v>-</v>
      </c>
      <c r="P16" s="33">
        <f>VLOOKUP($B16,Данные!$A$1:$U$1009,2,FALSE)</f>
        <v>64</v>
      </c>
      <c r="Q16" s="76">
        <f>VLOOKUP($B16,Данные!$A$1:$U$1009,3,FALSE)</f>
        <v>8960</v>
      </c>
      <c r="R16" s="100">
        <f t="shared" si="4"/>
        <v>140</v>
      </c>
      <c r="S16" s="88" t="str">
        <f>VLOOKUP($B16,Данные!$A$1:$U$1009,15,FALSE)</f>
        <v>5000К 4000К* 3000К*</v>
      </c>
      <c r="T16" s="88">
        <f>VLOOKUP($B16,Данные!$A$1:$U$1009,7,FALSE)</f>
        <v>67</v>
      </c>
      <c r="U16" s="103" t="str">
        <f>VLOOKUP($B16,Данные!$A$1:$U$1009,16,FALSE)</f>
        <v>5 лет</v>
      </c>
      <c r="V16" s="406">
        <v>4835</v>
      </c>
    </row>
    <row r="17" spans="1:22" s="5" customFormat="1" ht="69.900000000000006" customHeight="1">
      <c r="A17" s="365"/>
      <c r="B17" s="18" t="s">
        <v>108</v>
      </c>
      <c r="C17" s="186">
        <f>VLOOKUP(B17,Данные!A:Z,26,FALSE)</f>
        <v>1009</v>
      </c>
      <c r="D17" s="337"/>
      <c r="E17" s="338" t="str">
        <f t="shared" ref="E17:E21" si="7">CONCATENATE(CONCATENATE($F$3,": ",$F17,CHAR(10),$G$3,": ",$G17,CHAR(10),$H$3,": ",$H17,CHAR(10),$I$3,": ",$I17,CHAR(10),$J$3,": ",$J17,CHAR(10),$K$3,": ",$K17,CHAR(10),$L$3,": ",$L17,CHAR(10)),CONCATENATE($M$3,": ",$M17,CHAR(10),$N$3,": ",$N17))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274х210х147
Вес, кг: 0</v>
      </c>
      <c r="F17" s="72" t="str">
        <f>VLOOKUP($B17,Данные!$A$1:$U$1009,6,FALSE)</f>
        <v>Д (косинусная)</v>
      </c>
      <c r="G17" s="72" t="str">
        <f>VLOOKUP($B17,Данные!$A$1:$U$1009,8,FALSE)</f>
        <v>Samsung LM281</v>
      </c>
      <c r="H17" s="72" t="str">
        <f>VLOOKUP($B17,Данные!$A$1:$U$1009,12,FALSE)</f>
        <v>Экструдированный алюминиевый профиль (анодированный), прозрачное минеральное стекло**</v>
      </c>
      <c r="I17" s="72" t="str">
        <f>VLOOKUP($B17,Данные!$A$1:$U$1009,4,FALSE)</f>
        <v>176-264В AС</v>
      </c>
      <c r="J17" s="72">
        <f>VLOOKUP($B17,Данные!$A$1:$U$1009,5,FALSE)</f>
        <v>0.95</v>
      </c>
      <c r="K17" s="72" t="str">
        <f>VLOOKUP($B17,Данные!$A$1:$U$1009,13,FALSE)</f>
        <v xml:space="preserve"> -60°...+50° С</v>
      </c>
      <c r="L17" s="72" t="str">
        <f>VLOOKUP($B17,Данные!$A$1:$U$1009,14,FALSE)</f>
        <v>100 000 ч.</v>
      </c>
      <c r="M17" s="72" t="str">
        <f>VLOOKUP($B17,Данные!$A$1:$U$1009,10,FALSE)</f>
        <v>274х210х147</v>
      </c>
      <c r="N17" s="72">
        <f>VLOOKUP($B17,Данные!$A$1:$U$1009,11,FALSE)</f>
        <v>0</v>
      </c>
      <c r="O17" s="92" t="str">
        <f>VLOOKUP($B17,Данные!$A$1:$U$1009,9,FALSE)</f>
        <v>-</v>
      </c>
      <c r="P17" s="34">
        <f>VLOOKUP($B17,Данные!$A$1:$U$1009,2,FALSE)</f>
        <v>96</v>
      </c>
      <c r="Q17" s="80">
        <f>VLOOKUP($B17,Данные!$A$1:$U$1009,3,FALSE)</f>
        <v>13440</v>
      </c>
      <c r="R17" s="101">
        <f t="shared" si="4"/>
        <v>140</v>
      </c>
      <c r="S17" s="89" t="str">
        <f>VLOOKUP($B17,Данные!$A$1:$U$1009,15,FALSE)</f>
        <v>5000К 4000К* 3000К*</v>
      </c>
      <c r="T17" s="89">
        <f>VLOOKUP($B17,Данные!$A$1:$U$1009,7,FALSE)</f>
        <v>67</v>
      </c>
      <c r="U17" s="104" t="str">
        <f>VLOOKUP($B17,Данные!$A$1:$U$1009,16,FALSE)</f>
        <v>5 лет</v>
      </c>
      <c r="V17" s="407">
        <v>5670</v>
      </c>
    </row>
    <row r="18" spans="1:22" s="5" customFormat="1" ht="69.900000000000006" customHeight="1">
      <c r="A18" s="365"/>
      <c r="B18" s="18" t="s">
        <v>114</v>
      </c>
      <c r="C18" s="186">
        <f>VLOOKUP(B18,Данные!A:Z,26,FALSE)</f>
        <v>1015</v>
      </c>
      <c r="D18" s="337"/>
      <c r="E18" s="338"/>
      <c r="F18" s="134" t="str">
        <f>VLOOKUP($B18,Данные!$A$1:$U$1009,6,FALSE)</f>
        <v>Д (косинусная)</v>
      </c>
      <c r="G18" s="134" t="str">
        <f>VLOOKUP($B18,Данные!$A$1:$U$1009,8,FALSE)</f>
        <v>Samsung LM281</v>
      </c>
      <c r="H18" s="134" t="str">
        <f>VLOOKUP($B18,Данные!$A$1:$U$1009,12,FALSE)</f>
        <v>Экструдированный алюминиевый профиль (анодированный), прозрачное минеральное стекло**</v>
      </c>
      <c r="I18" s="134" t="str">
        <f>VLOOKUP($B18,Данные!$A$1:$U$1009,4,FALSE)</f>
        <v>176-264В AС</v>
      </c>
      <c r="J18" s="134">
        <f>VLOOKUP($B18,Данные!$A$1:$U$1009,5,FALSE)</f>
        <v>0.95</v>
      </c>
      <c r="K18" s="134" t="str">
        <f>VLOOKUP($B18,Данные!$A$1:$U$1009,13,FALSE)</f>
        <v xml:space="preserve"> -60°...+50° С</v>
      </c>
      <c r="L18" s="134" t="str">
        <f>VLOOKUP($B18,Данные!$A$1:$U$1009,14,FALSE)</f>
        <v>100 000 ч.</v>
      </c>
      <c r="M18" s="134" t="str">
        <f>VLOOKUP($B18,Данные!$A$1:$U$1009,10,FALSE)</f>
        <v>324х210х147</v>
      </c>
      <c r="N18" s="134">
        <f>VLOOKUP($B18,Данные!$A$1:$U$1009,11,FALSE)</f>
        <v>0</v>
      </c>
      <c r="O18" s="92" t="str">
        <f>VLOOKUP($B18,Данные!$A$1:$U$1009,9,FALSE)</f>
        <v>-</v>
      </c>
      <c r="P18" s="34">
        <f>VLOOKUP($B18,Данные!$A$1:$U$1009,2,FALSE)</f>
        <v>124</v>
      </c>
      <c r="Q18" s="132">
        <f>VLOOKUP($B18,Данные!$A$1:$U$1009,3,FALSE)</f>
        <v>17360</v>
      </c>
      <c r="R18" s="101">
        <f t="shared" ref="R18:R19" si="8">Q18/P18</f>
        <v>140</v>
      </c>
      <c r="S18" s="89" t="str">
        <f>VLOOKUP($B18,Данные!$A$1:$U$1009,15,FALSE)</f>
        <v>5000К 4000К* 3000К*</v>
      </c>
      <c r="T18" s="89">
        <f>VLOOKUP($B18,Данные!$A$1:$U$1009,7,FALSE)</f>
        <v>67</v>
      </c>
      <c r="U18" s="104" t="str">
        <f>VLOOKUP($B18,Данные!$A$1:$U$1009,16,FALSE)</f>
        <v>5 лет</v>
      </c>
      <c r="V18" s="407">
        <v>6410</v>
      </c>
    </row>
    <row r="19" spans="1:22" s="5" customFormat="1" ht="69.900000000000006" customHeight="1">
      <c r="A19" s="365"/>
      <c r="B19" s="18" t="s">
        <v>319</v>
      </c>
      <c r="C19" s="186">
        <f>VLOOKUP(B19,Данные!A:Z,26,FALSE)</f>
        <v>1021</v>
      </c>
      <c r="D19" s="337"/>
      <c r="E19" s="338"/>
      <c r="F19" s="134" t="str">
        <f>VLOOKUP($B19,Данные!$A$1:$U$1009,6,FALSE)</f>
        <v>Д (косинусная)</v>
      </c>
      <c r="G19" s="134" t="str">
        <f>VLOOKUP($B19,Данные!$A$1:$U$1009,8,FALSE)</f>
        <v>Samsung LM281</v>
      </c>
      <c r="H19" s="134" t="str">
        <f>VLOOKUP($B19,Данные!$A$1:$U$1009,12,FALSE)</f>
        <v>Экструдированный алюминиевый профиль (анодированный), прозрачное минеральное стекло**</v>
      </c>
      <c r="I19" s="134" t="str">
        <f>VLOOKUP($B19,Данные!$A$1:$U$1009,4,FALSE)</f>
        <v>176-264В AС</v>
      </c>
      <c r="J19" s="134">
        <f>VLOOKUP($B19,Данные!$A$1:$U$1009,5,FALSE)</f>
        <v>0.95</v>
      </c>
      <c r="K19" s="134" t="str">
        <f>VLOOKUP($B19,Данные!$A$1:$U$1009,13,FALSE)</f>
        <v xml:space="preserve"> -60°...+50° С</v>
      </c>
      <c r="L19" s="134" t="str">
        <f>VLOOKUP($B19,Данные!$A$1:$U$1009,14,FALSE)</f>
        <v>100 000 ч.</v>
      </c>
      <c r="M19" s="134" t="str">
        <f>VLOOKUP($B19,Данные!$A$1:$U$1009,10,FALSE)</f>
        <v>464х210х147</v>
      </c>
      <c r="N19" s="134">
        <f>VLOOKUP($B19,Данные!$A$1:$U$1009,11,FALSE)</f>
        <v>0</v>
      </c>
      <c r="O19" s="92" t="str">
        <f>VLOOKUP($B19,Данные!$A$1:$U$1009,9,FALSE)</f>
        <v>-</v>
      </c>
      <c r="P19" s="34">
        <f>VLOOKUP($B19,Данные!$A$1:$U$1009,2,FALSE)</f>
        <v>160</v>
      </c>
      <c r="Q19" s="132">
        <f>VLOOKUP($B19,Данные!$A$1:$U$1009,3,FALSE)</f>
        <v>22400</v>
      </c>
      <c r="R19" s="101">
        <f t="shared" si="8"/>
        <v>140</v>
      </c>
      <c r="S19" s="89" t="str">
        <f>VLOOKUP($B19,Данные!$A$1:$U$1009,15,FALSE)</f>
        <v>5000К 4000К* 3000К*</v>
      </c>
      <c r="T19" s="89">
        <f>VLOOKUP($B19,Данные!$A$1:$U$1009,7,FALSE)</f>
        <v>67</v>
      </c>
      <c r="U19" s="104" t="str">
        <f>VLOOKUP($B19,Данные!$A$1:$U$1009,16,FALSE)</f>
        <v>5 лет</v>
      </c>
      <c r="V19" s="407">
        <v>9005</v>
      </c>
    </row>
    <row r="20" spans="1:22" s="5" customFormat="1" ht="69.900000000000006" customHeight="1">
      <c r="A20" s="365"/>
      <c r="B20" s="18" t="s">
        <v>120</v>
      </c>
      <c r="C20" s="186">
        <f>VLOOKUP(B20,Данные!A:Z,26,FALSE)</f>
        <v>1031</v>
      </c>
      <c r="D20" s="337"/>
      <c r="E20" s="338" t="str">
        <f t="shared" si="7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524х210х147
Вес, кг: 0</v>
      </c>
      <c r="F20" s="72" t="str">
        <f>VLOOKUP($B20,Данные!$A$1:$U$1009,6,FALSE)</f>
        <v>Д (косинусная)</v>
      </c>
      <c r="G20" s="72" t="str">
        <f>VLOOKUP($B20,Данные!$A$1:$U$1009,8,FALSE)</f>
        <v>Samsung LM281</v>
      </c>
      <c r="H20" s="72" t="str">
        <f>VLOOKUP($B20,Данные!$A$1:$U$1009,12,FALSE)</f>
        <v>Экструдированный алюминиевый профиль (анодированный), прозрачное минеральное стекло**</v>
      </c>
      <c r="I20" s="72" t="str">
        <f>VLOOKUP($B20,Данные!$A$1:$U$1009,4,FALSE)</f>
        <v>176-264В AС</v>
      </c>
      <c r="J20" s="72">
        <f>VLOOKUP($B20,Данные!$A$1:$U$1009,5,FALSE)</f>
        <v>0.95</v>
      </c>
      <c r="K20" s="72" t="str">
        <f>VLOOKUP($B20,Данные!$A$1:$U$1009,13,FALSE)</f>
        <v xml:space="preserve"> -60°...+50° С</v>
      </c>
      <c r="L20" s="72" t="str">
        <f>VLOOKUP($B20,Данные!$A$1:$U$1009,14,FALSE)</f>
        <v>100 000 ч.</v>
      </c>
      <c r="M20" s="72" t="str">
        <f>VLOOKUP($B20,Данные!$A$1:$U$1009,10,FALSE)</f>
        <v>524х210х147</v>
      </c>
      <c r="N20" s="72">
        <f>VLOOKUP($B20,Данные!$A$1:$U$1009,11,FALSE)</f>
        <v>0</v>
      </c>
      <c r="O20" s="92" t="str">
        <f>VLOOKUP($B20,Данные!$A$1:$U$1009,9,FALSE)</f>
        <v>-</v>
      </c>
      <c r="P20" s="34">
        <f>VLOOKUP($B20,Данные!$A$1:$U$1009,2,FALSE)</f>
        <v>192</v>
      </c>
      <c r="Q20" s="80">
        <f>VLOOKUP($B20,Данные!$A$1:$U$1009,3,FALSE)</f>
        <v>26880</v>
      </c>
      <c r="R20" s="101">
        <f t="shared" si="4"/>
        <v>140</v>
      </c>
      <c r="S20" s="89" t="str">
        <f>VLOOKUP($B20,Данные!$A$1:$U$1009,15,FALSE)</f>
        <v>5000К 4000К* 3000К*</v>
      </c>
      <c r="T20" s="89">
        <f>VLOOKUP($B20,Данные!$A$1:$U$1009,7,FALSE)</f>
        <v>67</v>
      </c>
      <c r="U20" s="104" t="str">
        <f>VLOOKUP($B20,Данные!$A$1:$U$1009,16,FALSE)</f>
        <v>5 лет</v>
      </c>
      <c r="V20" s="407">
        <v>9475</v>
      </c>
    </row>
    <row r="21" spans="1:22" s="5" customFormat="1" ht="69.900000000000006" customHeight="1" thickBot="1">
      <c r="A21" s="365"/>
      <c r="B21" s="15" t="s">
        <v>342</v>
      </c>
      <c r="C21" s="187">
        <f>VLOOKUP(B21,Данные!A:Z,26,FALSE)</f>
        <v>1037</v>
      </c>
      <c r="D21" s="343"/>
      <c r="E21" s="345" t="str">
        <f t="shared" si="7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624х210х147
Вес, кг: 0</v>
      </c>
      <c r="F21" s="73" t="str">
        <f>VLOOKUP($B21,Данные!$A$1:$U$1009,6,FALSE)</f>
        <v>Д (косинусная)</v>
      </c>
      <c r="G21" s="73" t="str">
        <f>VLOOKUP($B21,Данные!$A$1:$U$1009,8,FALSE)</f>
        <v>Samsung LM281</v>
      </c>
      <c r="H21" s="73" t="str">
        <f>VLOOKUP($B21,Данные!$A$1:$U$1009,12,FALSE)</f>
        <v>Экструдированный алюминиевый профиль (анодированный), прозрачное минеральное стекло**</v>
      </c>
      <c r="I21" s="73" t="str">
        <f>VLOOKUP($B21,Данные!$A$1:$U$1009,4,FALSE)</f>
        <v>176-264В AС</v>
      </c>
      <c r="J21" s="73">
        <f>VLOOKUP($B21,Данные!$A$1:$U$1009,5,FALSE)</f>
        <v>0.95</v>
      </c>
      <c r="K21" s="73" t="str">
        <f>VLOOKUP($B21,Данные!$A$1:$U$1009,13,FALSE)</f>
        <v xml:space="preserve"> -60°...+50° С</v>
      </c>
      <c r="L21" s="73" t="str">
        <f>VLOOKUP($B21,Данные!$A$1:$U$1009,14,FALSE)</f>
        <v>100 000 ч.</v>
      </c>
      <c r="M21" s="73" t="str">
        <f>VLOOKUP($B21,Данные!$A$1:$U$1009,10,FALSE)</f>
        <v>624х210х147</v>
      </c>
      <c r="N21" s="73">
        <f>VLOOKUP($B21,Данные!$A$1:$U$1009,11,FALSE)</f>
        <v>0</v>
      </c>
      <c r="O21" s="93" t="str">
        <f>VLOOKUP($B21,Данные!$A$1:$U$1009,9,FALSE)</f>
        <v>-</v>
      </c>
      <c r="P21" s="74">
        <f>VLOOKUP($B21,Данные!$A$1:$U$1009,2,FALSE)</f>
        <v>248</v>
      </c>
      <c r="Q21" s="77">
        <f>VLOOKUP($B21,Данные!$A$1:$U$1009,3,FALSE)</f>
        <v>34720</v>
      </c>
      <c r="R21" s="102">
        <f t="shared" si="4"/>
        <v>140</v>
      </c>
      <c r="S21" s="90" t="str">
        <f>VLOOKUP($B21,Данные!$A$1:$U$1009,15,FALSE)</f>
        <v>5000К 4000К* 3000К*</v>
      </c>
      <c r="T21" s="90">
        <f>VLOOKUP($B21,Данные!$A$1:$U$1009,7,FALSE)</f>
        <v>67</v>
      </c>
      <c r="U21" s="105" t="str">
        <f>VLOOKUP($B21,Данные!$A$1:$U$1009,16,FALSE)</f>
        <v>5 лет</v>
      </c>
      <c r="V21" s="408">
        <v>13345</v>
      </c>
    </row>
    <row r="22" spans="1:22" s="5" customFormat="1" ht="69.900000000000006" customHeight="1">
      <c r="A22" s="354"/>
      <c r="B22" s="17" t="s">
        <v>103</v>
      </c>
      <c r="C22" s="185">
        <f>VLOOKUP(B22,Данные!A:Z,26,FALSE)</f>
        <v>1004</v>
      </c>
      <c r="D22" s="342" t="s">
        <v>287</v>
      </c>
      <c r="E22" s="344" t="str">
        <f t="shared" ref="E22" si="9">CONCATENATE(CONCATENATE($F$3,": ",$F22,CHAR(10),$H$3,": ",$H22,CHAR(10),$I$3,": ",$I22,CHAR(10),$J$3,": ",$J22,CHAR(10),$K$3,": ",$K22,CHAR(10),$L$3,": ",$L22,CHAR(10)),"*Цветовая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22" s="71" t="str">
        <f>VLOOKUP($B22,Данные!$A$1:$U$1009,6,FALSE)</f>
        <v>Д (косинусная)</v>
      </c>
      <c r="G22" s="71" t="str">
        <f>VLOOKUP($B22,Данные!$A$1:$U$1009,8,FALSE)</f>
        <v>Samsung LM281</v>
      </c>
      <c r="H22" s="71" t="str">
        <f>VLOOKUP($B22,Данные!$A$1:$U$1009,12,FALSE)</f>
        <v>Экструдированный алюминиевый профиль (анодированный), прозрачное минеральное стекло**</v>
      </c>
      <c r="I22" s="71" t="str">
        <f>VLOOKUP($B22,Данные!$A$1:$U$1009,4,FALSE)</f>
        <v>176-264В AС</v>
      </c>
      <c r="J22" s="71">
        <f>VLOOKUP($B22,Данные!$A$1:$U$1009,5,FALSE)</f>
        <v>0.95</v>
      </c>
      <c r="K22" s="71" t="str">
        <f>VLOOKUP($B22,Данные!$A$1:$U$1009,13,FALSE)</f>
        <v xml:space="preserve"> -60°...+50° С</v>
      </c>
      <c r="L22" s="71" t="str">
        <f>VLOOKUP($B22,Данные!$A$1:$U$1009,14,FALSE)</f>
        <v>100 000 ч.</v>
      </c>
      <c r="M22" s="71" t="str">
        <f>VLOOKUP($B22,Данные!$A$1:$U$1009,10,FALSE)</f>
        <v>224х262х82</v>
      </c>
      <c r="N22" s="71">
        <f>VLOOKUP($B22,Данные!$A$1:$U$1009,11,FALSE)</f>
        <v>0</v>
      </c>
      <c r="O22" s="91" t="str">
        <f>VLOOKUP($B22,Данные!$A$1:$U$1009,9,FALSE)</f>
        <v>-</v>
      </c>
      <c r="P22" s="33">
        <f>VLOOKUP($B22,Данные!$A$1:$U$1009,2,FALSE)</f>
        <v>64</v>
      </c>
      <c r="Q22" s="42">
        <f>VLOOKUP($B22,Данные!$A$1:$U$1009,3,FALSE)</f>
        <v>8960</v>
      </c>
      <c r="R22" s="100">
        <f t="shared" si="4"/>
        <v>140</v>
      </c>
      <c r="S22" s="88" t="str">
        <f>VLOOKUP($B22,Данные!$A$1:$U$1009,15,FALSE)</f>
        <v>5000К 4000К* 3000К*</v>
      </c>
      <c r="T22" s="88">
        <f>VLOOKUP($B22,Данные!$A$1:$U$1009,7,FALSE)</f>
        <v>67</v>
      </c>
      <c r="U22" s="103" t="str">
        <f>VLOOKUP($B22,Данные!$A$1:$U$1009,16,FALSE)</f>
        <v>5 лет</v>
      </c>
      <c r="V22" s="406">
        <v>4835</v>
      </c>
    </row>
    <row r="23" spans="1:22" s="5" customFormat="1" ht="69.900000000000006" customHeight="1">
      <c r="A23" s="355"/>
      <c r="B23" s="18" t="s">
        <v>109</v>
      </c>
      <c r="C23" s="186">
        <f>VLOOKUP(B23,Данные!A:Z,26,FALSE)</f>
        <v>1010</v>
      </c>
      <c r="D23" s="337"/>
      <c r="E23" s="338" t="str">
        <f t="shared" ref="E23:E27" si="10">CONCATENATE(CONCATENATE($F$3,": ",$F23,CHAR(10),$G$3,": ",$G23,CHAR(10),$H$3,": ",$H23,CHAR(10),$I$3,": ",$I23,CHAR(10),$J$3,": ",$J23,CHAR(10),$K$3,": ",$K23,CHAR(10),$L$3,": ",$L23,CHAR(10)),CONCATENATE($M$3,": ",$M23,CHAR(10),$N$3,": ",$N23))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274х262х82
Вес, кг: 0</v>
      </c>
      <c r="F23" s="72" t="str">
        <f>VLOOKUP($B23,Данные!$A$1:$U$1009,6,FALSE)</f>
        <v>Д (косинусная)</v>
      </c>
      <c r="G23" s="72" t="str">
        <f>VLOOKUP($B23,Данные!$A$1:$U$1009,8,FALSE)</f>
        <v>Samsung LM281</v>
      </c>
      <c r="H23" s="72" t="str">
        <f>VLOOKUP($B23,Данные!$A$1:$U$1009,12,FALSE)</f>
        <v>Экструдированный алюминиевый профиль (анодированный), прозрачное минеральное стекло**</v>
      </c>
      <c r="I23" s="72" t="str">
        <f>VLOOKUP($B23,Данные!$A$1:$U$1009,4,FALSE)</f>
        <v>176-264В AС</v>
      </c>
      <c r="J23" s="72">
        <f>VLOOKUP($B23,Данные!$A$1:$U$1009,5,FALSE)</f>
        <v>0.95</v>
      </c>
      <c r="K23" s="72" t="str">
        <f>VLOOKUP($B23,Данные!$A$1:$U$1009,13,FALSE)</f>
        <v xml:space="preserve"> -60°...+50° С</v>
      </c>
      <c r="L23" s="72" t="str">
        <f>VLOOKUP($B23,Данные!$A$1:$U$1009,14,FALSE)</f>
        <v>100 000 ч.</v>
      </c>
      <c r="M23" s="72" t="str">
        <f>VLOOKUP($B23,Данные!$A$1:$U$1009,10,FALSE)</f>
        <v>274х262х82</v>
      </c>
      <c r="N23" s="72">
        <f>VLOOKUP($B23,Данные!$A$1:$U$1009,11,FALSE)</f>
        <v>0</v>
      </c>
      <c r="O23" s="92" t="str">
        <f>VLOOKUP($B23,Данные!$A$1:$U$1009,9,FALSE)</f>
        <v>-</v>
      </c>
      <c r="P23" s="34">
        <f>VLOOKUP($B23,Данные!$A$1:$U$1009,2,FALSE)</f>
        <v>96</v>
      </c>
      <c r="Q23" s="44">
        <f>VLOOKUP($B23,Данные!$A$1:$U$1009,3,FALSE)</f>
        <v>13440</v>
      </c>
      <c r="R23" s="101">
        <f t="shared" si="4"/>
        <v>140</v>
      </c>
      <c r="S23" s="89" t="str">
        <f>VLOOKUP($B23,Данные!$A$1:$U$1009,15,FALSE)</f>
        <v>5000К 4000К* 3000К*</v>
      </c>
      <c r="T23" s="89">
        <f>VLOOKUP($B23,Данные!$A$1:$U$1009,7,FALSE)</f>
        <v>67</v>
      </c>
      <c r="U23" s="104" t="str">
        <f>VLOOKUP($B23,Данные!$A$1:$U$1009,16,FALSE)</f>
        <v>5 лет</v>
      </c>
      <c r="V23" s="407">
        <v>5670</v>
      </c>
    </row>
    <row r="24" spans="1:22" s="5" customFormat="1" ht="69.900000000000006" customHeight="1">
      <c r="A24" s="355"/>
      <c r="B24" s="18" t="s">
        <v>115</v>
      </c>
      <c r="C24" s="186">
        <f>VLOOKUP(B24,Данные!A:Z,26,FALSE)</f>
        <v>1016</v>
      </c>
      <c r="D24" s="337"/>
      <c r="E24" s="338"/>
      <c r="F24" s="134" t="str">
        <f>VLOOKUP($B24,Данные!$A$1:$U$1009,6,FALSE)</f>
        <v>Д (косинусная)</v>
      </c>
      <c r="G24" s="134" t="str">
        <f>VLOOKUP($B24,Данные!$A$1:$U$1009,8,FALSE)</f>
        <v>Samsung LM281</v>
      </c>
      <c r="H24" s="134" t="str">
        <f>VLOOKUP($B24,Данные!$A$1:$U$1009,12,FALSE)</f>
        <v>Экструдированный алюминиевый профиль (анодированный), прозрачное минеральное стекло**</v>
      </c>
      <c r="I24" s="134" t="str">
        <f>VLOOKUP($B24,Данные!$A$1:$U$1009,4,FALSE)</f>
        <v>176-264В AС</v>
      </c>
      <c r="J24" s="134">
        <f>VLOOKUP($B24,Данные!$A$1:$U$1009,5,FALSE)</f>
        <v>0.95</v>
      </c>
      <c r="K24" s="134" t="str">
        <f>VLOOKUP($B24,Данные!$A$1:$U$1009,13,FALSE)</f>
        <v xml:space="preserve"> -60°...+50° С</v>
      </c>
      <c r="L24" s="134" t="str">
        <f>VLOOKUP($B24,Данные!$A$1:$U$1009,14,FALSE)</f>
        <v>100 000 ч.</v>
      </c>
      <c r="M24" s="134" t="str">
        <f>VLOOKUP($B24,Данные!$A$1:$U$1009,10,FALSE)</f>
        <v>324х262х82</v>
      </c>
      <c r="N24" s="134">
        <f>VLOOKUP($B24,Данные!$A$1:$U$1009,11,FALSE)</f>
        <v>0</v>
      </c>
      <c r="O24" s="92" t="str">
        <f>VLOOKUP($B24,Данные!$A$1:$U$1009,9,FALSE)</f>
        <v>-</v>
      </c>
      <c r="P24" s="34">
        <f>VLOOKUP($B24,Данные!$A$1:$U$1009,2,FALSE)</f>
        <v>124</v>
      </c>
      <c r="Q24" s="132">
        <f>VLOOKUP($B24,Данные!$A$1:$U$1009,3,FALSE)</f>
        <v>17360</v>
      </c>
      <c r="R24" s="101">
        <f t="shared" ref="R24:R25" si="11">Q24/P24</f>
        <v>140</v>
      </c>
      <c r="S24" s="89" t="str">
        <f>VLOOKUP($B24,Данные!$A$1:$U$1009,15,FALSE)</f>
        <v>5000К 4000К* 3000К*</v>
      </c>
      <c r="T24" s="89">
        <f>VLOOKUP($B24,Данные!$A$1:$U$1009,7,FALSE)</f>
        <v>67</v>
      </c>
      <c r="U24" s="104" t="str">
        <f>VLOOKUP($B24,Данные!$A$1:$U$1009,16,FALSE)</f>
        <v>5 лет</v>
      </c>
      <c r="V24" s="407">
        <v>6410</v>
      </c>
    </row>
    <row r="25" spans="1:22" s="5" customFormat="1" ht="69.900000000000006" customHeight="1">
      <c r="A25" s="355"/>
      <c r="B25" s="18" t="s">
        <v>320</v>
      </c>
      <c r="C25" s="186">
        <f>VLOOKUP(B25,Данные!A:Z,26,FALSE)</f>
        <v>1022</v>
      </c>
      <c r="D25" s="337"/>
      <c r="E25" s="338"/>
      <c r="F25" s="134" t="str">
        <f>VLOOKUP($B25,Данные!$A$1:$U$1009,6,FALSE)</f>
        <v>Д (косинусная)</v>
      </c>
      <c r="G25" s="134" t="str">
        <f>VLOOKUP($B25,Данные!$A$1:$U$1009,8,FALSE)</f>
        <v>Samsung LM281</v>
      </c>
      <c r="H25" s="134" t="str">
        <f>VLOOKUP($B25,Данные!$A$1:$U$1009,12,FALSE)</f>
        <v>Экструдированный алюминиевый профиль (анодированный), прозрачное минеральное стекло**</v>
      </c>
      <c r="I25" s="134" t="str">
        <f>VLOOKUP($B25,Данные!$A$1:$U$1009,4,FALSE)</f>
        <v>176-264В AС</v>
      </c>
      <c r="J25" s="134">
        <f>VLOOKUP($B25,Данные!$A$1:$U$1009,5,FALSE)</f>
        <v>0.95</v>
      </c>
      <c r="K25" s="134" t="str">
        <f>VLOOKUP($B25,Данные!$A$1:$U$1009,13,FALSE)</f>
        <v xml:space="preserve"> -60°...+50° С</v>
      </c>
      <c r="L25" s="134" t="str">
        <f>VLOOKUP($B25,Данные!$A$1:$U$1009,14,FALSE)</f>
        <v>100 000 ч.</v>
      </c>
      <c r="M25" s="134" t="str">
        <f>VLOOKUP($B25,Данные!$A$1:$U$1009,10,FALSE)</f>
        <v>464х262х82</v>
      </c>
      <c r="N25" s="134">
        <f>VLOOKUP($B25,Данные!$A$1:$U$1009,11,FALSE)</f>
        <v>0</v>
      </c>
      <c r="O25" s="92" t="str">
        <f>VLOOKUP($B25,Данные!$A$1:$U$1009,9,FALSE)</f>
        <v>-</v>
      </c>
      <c r="P25" s="34">
        <f>VLOOKUP($B25,Данные!$A$1:$U$1009,2,FALSE)</f>
        <v>160</v>
      </c>
      <c r="Q25" s="132">
        <f>VLOOKUP($B25,Данные!$A$1:$U$1009,3,FALSE)</f>
        <v>22400</v>
      </c>
      <c r="R25" s="101">
        <f t="shared" si="11"/>
        <v>140</v>
      </c>
      <c r="S25" s="89" t="str">
        <f>VLOOKUP($B25,Данные!$A$1:$U$1009,15,FALSE)</f>
        <v>5000К 4000К* 3000К*</v>
      </c>
      <c r="T25" s="89">
        <f>VLOOKUP($B25,Данные!$A$1:$U$1009,7,FALSE)</f>
        <v>67</v>
      </c>
      <c r="U25" s="104" t="str">
        <f>VLOOKUP($B25,Данные!$A$1:$U$1009,16,FALSE)</f>
        <v>5 лет</v>
      </c>
      <c r="V25" s="407">
        <v>9005</v>
      </c>
    </row>
    <row r="26" spans="1:22" s="5" customFormat="1" ht="69.900000000000006" customHeight="1">
      <c r="A26" s="355"/>
      <c r="B26" s="18" t="s">
        <v>121</v>
      </c>
      <c r="C26" s="186">
        <f>VLOOKUP(B26,Данные!A:Z,26,FALSE)</f>
        <v>1032</v>
      </c>
      <c r="D26" s="337"/>
      <c r="E26" s="338" t="str">
        <f t="shared" si="10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524х262х82
Вес, кг: 0</v>
      </c>
      <c r="F26" s="72" t="str">
        <f>VLOOKUP($B26,Данные!$A$1:$U$1009,6,FALSE)</f>
        <v>Д (косинусная)</v>
      </c>
      <c r="G26" s="72" t="str">
        <f>VLOOKUP($B26,Данные!$A$1:$U$1009,8,FALSE)</f>
        <v>Samsung LM281</v>
      </c>
      <c r="H26" s="72" t="str">
        <f>VLOOKUP($B26,Данные!$A$1:$U$1009,12,FALSE)</f>
        <v>Экструдированный алюминиевый профиль (анодированный), прозрачное минеральное стекло**</v>
      </c>
      <c r="I26" s="72" t="str">
        <f>VLOOKUP($B26,Данные!$A$1:$U$1009,4,FALSE)</f>
        <v>176-264В AС</v>
      </c>
      <c r="J26" s="72">
        <f>VLOOKUP($B26,Данные!$A$1:$U$1009,5,FALSE)</f>
        <v>0.95</v>
      </c>
      <c r="K26" s="72" t="str">
        <f>VLOOKUP($B26,Данные!$A$1:$U$1009,13,FALSE)</f>
        <v xml:space="preserve"> -60°...+50° С</v>
      </c>
      <c r="L26" s="72" t="str">
        <f>VLOOKUP($B26,Данные!$A$1:$U$1009,14,FALSE)</f>
        <v>100 000 ч.</v>
      </c>
      <c r="M26" s="72" t="str">
        <f>VLOOKUP($B26,Данные!$A$1:$U$1009,10,FALSE)</f>
        <v>524х262х82</v>
      </c>
      <c r="N26" s="72">
        <f>VLOOKUP($B26,Данные!$A$1:$U$1009,11,FALSE)</f>
        <v>0</v>
      </c>
      <c r="O26" s="92" t="str">
        <f>VLOOKUP($B26,Данные!$A$1:$U$1009,9,FALSE)</f>
        <v>-</v>
      </c>
      <c r="P26" s="34">
        <f>VLOOKUP($B26,Данные!$A$1:$U$1009,2,FALSE)</f>
        <v>192</v>
      </c>
      <c r="Q26" s="44">
        <f>VLOOKUP($B26,Данные!$A$1:$U$1009,3,FALSE)</f>
        <v>26880</v>
      </c>
      <c r="R26" s="101">
        <f t="shared" si="4"/>
        <v>140</v>
      </c>
      <c r="S26" s="89" t="str">
        <f>VLOOKUP($B26,Данные!$A$1:$U$1009,15,FALSE)</f>
        <v>5000К 4000К* 3000К*</v>
      </c>
      <c r="T26" s="89">
        <f>VLOOKUP($B26,Данные!$A$1:$U$1009,7,FALSE)</f>
        <v>67</v>
      </c>
      <c r="U26" s="104" t="str">
        <f>VLOOKUP($B26,Данные!$A$1:$U$1009,16,FALSE)</f>
        <v>5 лет</v>
      </c>
      <c r="V26" s="407">
        <v>9475</v>
      </c>
    </row>
    <row r="27" spans="1:22" s="5" customFormat="1" ht="69.900000000000006" customHeight="1" thickBot="1">
      <c r="A27" s="356"/>
      <c r="B27" s="15" t="s">
        <v>341</v>
      </c>
      <c r="C27" s="187">
        <f>VLOOKUP(B27,Данные!A:Z,26,FALSE)</f>
        <v>1038</v>
      </c>
      <c r="D27" s="343"/>
      <c r="E27" s="345" t="str">
        <f t="shared" si="10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624х262х82
Вес, кг: 0</v>
      </c>
      <c r="F27" s="73" t="str">
        <f>VLOOKUP($B27,Данные!$A$1:$U$1009,6,FALSE)</f>
        <v>Д (косинусная)</v>
      </c>
      <c r="G27" s="73" t="str">
        <f>VLOOKUP($B27,Данные!$A$1:$U$1009,8,FALSE)</f>
        <v>Samsung LM281</v>
      </c>
      <c r="H27" s="73" t="str">
        <f>VLOOKUP($B27,Данные!$A$1:$U$1009,12,FALSE)</f>
        <v>Экструдированный алюминиевый профиль (анодированный), прозрачное минеральное стекло**</v>
      </c>
      <c r="I27" s="73" t="str">
        <f>VLOOKUP($B27,Данные!$A$1:$U$1009,4,FALSE)</f>
        <v>176-264В AС</v>
      </c>
      <c r="J27" s="73">
        <f>VLOOKUP($B27,Данные!$A$1:$U$1009,5,FALSE)</f>
        <v>0.95</v>
      </c>
      <c r="K27" s="73" t="str">
        <f>VLOOKUP($B27,Данные!$A$1:$U$1009,13,FALSE)</f>
        <v xml:space="preserve"> -60°...+50° С</v>
      </c>
      <c r="L27" s="73" t="str">
        <f>VLOOKUP($B27,Данные!$A$1:$U$1009,14,FALSE)</f>
        <v>100 000 ч.</v>
      </c>
      <c r="M27" s="73" t="str">
        <f>VLOOKUP($B27,Данные!$A$1:$U$1009,10,FALSE)</f>
        <v>624х262х82</v>
      </c>
      <c r="N27" s="73">
        <f>VLOOKUP($B27,Данные!$A$1:$U$1009,11,FALSE)</f>
        <v>0</v>
      </c>
      <c r="O27" s="93" t="str">
        <f>VLOOKUP($B27,Данные!$A$1:$U$1009,9,FALSE)</f>
        <v>-</v>
      </c>
      <c r="P27" s="74">
        <f>VLOOKUP($B27,Данные!$A$1:$U$1009,2,FALSE)</f>
        <v>248</v>
      </c>
      <c r="Q27" s="43">
        <f>VLOOKUP($B27,Данные!$A$1:$U$1009,3,FALSE)</f>
        <v>34720</v>
      </c>
      <c r="R27" s="102">
        <f t="shared" si="4"/>
        <v>140</v>
      </c>
      <c r="S27" s="90" t="str">
        <f>VLOOKUP($B27,Данные!$A$1:$U$1009,15,FALSE)</f>
        <v>5000К 4000К* 3000К*</v>
      </c>
      <c r="T27" s="90">
        <f>VLOOKUP($B27,Данные!$A$1:$U$1009,7,FALSE)</f>
        <v>67</v>
      </c>
      <c r="U27" s="105" t="str">
        <f>VLOOKUP($B27,Данные!$A$1:$U$1009,16,FALSE)</f>
        <v>5 лет</v>
      </c>
      <c r="V27" s="408">
        <v>13345</v>
      </c>
    </row>
    <row r="28" spans="1:22" s="5" customFormat="1" ht="69.900000000000006" customHeight="1">
      <c r="A28" s="365"/>
      <c r="B28" s="17" t="s">
        <v>105</v>
      </c>
      <c r="C28" s="185">
        <f>VLOOKUP(B28,Данные!A:Z,26,FALSE)</f>
        <v>1006</v>
      </c>
      <c r="D28" s="342" t="s">
        <v>287</v>
      </c>
      <c r="E28" s="344" t="str">
        <f t="shared" ref="E28" si="12">CONCATENATE(CONCATENATE($F$3,": ",$F28,CHAR(10),$H$3,": ",$H28,CHAR(10),$I$3,": ",$I28,CHAR(10),$J$3,": ",$J28,CHAR(10),$K$3,": ",$K28,CHAR(10),$L$3,": ",$L28,CHAR(10)),"*Цветовая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28" s="71" t="str">
        <f>VLOOKUP($B28,Данные!$A$1:$U$1009,6,FALSE)</f>
        <v>Л (полуширокая)</v>
      </c>
      <c r="G28" s="71" t="str">
        <f>VLOOKUP($B28,Данные!$A$1:$U$1009,8,FALSE)</f>
        <v>Samsung LM281</v>
      </c>
      <c r="H28" s="71" t="str">
        <f>VLOOKUP($B28,Данные!$A$1:$U$1009,12,FALSE)</f>
        <v>Экструдированный алюминиевый профиль (анодированный), прозрачное минеральное стекло**</v>
      </c>
      <c r="I28" s="71" t="str">
        <f>VLOOKUP($B28,Данные!$A$1:$U$1009,4,FALSE)</f>
        <v>176-264В AС</v>
      </c>
      <c r="J28" s="71">
        <f>VLOOKUP($B28,Данные!$A$1:$U$1009,5,FALSE)</f>
        <v>0.95</v>
      </c>
      <c r="K28" s="71" t="str">
        <f>VLOOKUP($B28,Данные!$A$1:$U$1009,13,FALSE)</f>
        <v xml:space="preserve"> -60°...+50° С</v>
      </c>
      <c r="L28" s="71" t="str">
        <f>VLOOKUP($B28,Данные!$A$1:$U$1009,14,FALSE)</f>
        <v>100 000 ч.</v>
      </c>
      <c r="M28" s="71" t="str">
        <f>VLOOKUP($B28,Данные!$A$1:$U$1009,10,FALSE)</f>
        <v>224x245x163</v>
      </c>
      <c r="N28" s="71">
        <f>VLOOKUP($B28,Данные!$A$1:$U$1009,11,FALSE)</f>
        <v>0</v>
      </c>
      <c r="O28" s="91" t="str">
        <f>VLOOKUP($B28,Данные!$A$1:$U$1009,9,FALSE)</f>
        <v>-</v>
      </c>
      <c r="P28" s="33">
        <f>VLOOKUP($B28,Данные!$A$1:$U$1009,2,FALSE)</f>
        <v>64</v>
      </c>
      <c r="Q28" s="42">
        <f>VLOOKUP($B28,Данные!$A$1:$U$1009,3,FALSE)</f>
        <v>8960</v>
      </c>
      <c r="R28" s="100">
        <f t="shared" si="4"/>
        <v>140</v>
      </c>
      <c r="S28" s="88" t="str">
        <f>VLOOKUP($B28,Данные!$A$1:$U$1009,15,FALSE)</f>
        <v>5000К 4000К* 3000К*</v>
      </c>
      <c r="T28" s="88">
        <f>VLOOKUP($B28,Данные!$A$1:$U$1009,7,FALSE)</f>
        <v>67</v>
      </c>
      <c r="U28" s="103" t="str">
        <f>VLOOKUP($B28,Данные!$A$1:$U$1009,16,FALSE)</f>
        <v>5 лет</v>
      </c>
      <c r="V28" s="406">
        <v>4835</v>
      </c>
    </row>
    <row r="29" spans="1:22" s="5" customFormat="1" ht="69.900000000000006" customHeight="1">
      <c r="A29" s="365"/>
      <c r="B29" s="18" t="s">
        <v>111</v>
      </c>
      <c r="C29" s="186">
        <f>VLOOKUP(B29,Данные!A:Z,26,FALSE)</f>
        <v>1012</v>
      </c>
      <c r="D29" s="337"/>
      <c r="E29" s="338" t="str">
        <f t="shared" ref="E29:E33" si="13">CONCATENATE(CONCATENATE($F$3,": ",$F29,CHAR(10),$G$3,": ",$G29,CHAR(10),$H$3,": ",$H29,CHAR(10),$I$3,": ",$I29,CHAR(10),$J$3,": ",$J29,CHAR(10),$K$3,": ",$K29,CHAR(10),$L$3,": ",$L29,CHAR(10)),CONCATENATE($M$3,": ",$M29,CHAR(10),$N$3,": ",$N29))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274x245x163
Вес, кг: 0</v>
      </c>
      <c r="F29" s="72" t="str">
        <f>VLOOKUP($B29,Данные!$A$1:$U$1009,6,FALSE)</f>
        <v>Л (полуширокая)</v>
      </c>
      <c r="G29" s="72" t="str">
        <f>VLOOKUP($B29,Данные!$A$1:$U$1009,8,FALSE)</f>
        <v>Samsung LM281</v>
      </c>
      <c r="H29" s="72" t="str">
        <f>VLOOKUP($B29,Данные!$A$1:$U$1009,12,FALSE)</f>
        <v>Экструдированный алюминиевый профиль (анодированный), прозрачное минеральное стекло**</v>
      </c>
      <c r="I29" s="72" t="str">
        <f>VLOOKUP($B29,Данные!$A$1:$U$1009,4,FALSE)</f>
        <v>176-264В AС</v>
      </c>
      <c r="J29" s="72">
        <f>VLOOKUP($B29,Данные!$A$1:$U$1009,5,FALSE)</f>
        <v>0.95</v>
      </c>
      <c r="K29" s="72" t="str">
        <f>VLOOKUP($B29,Данные!$A$1:$U$1009,13,FALSE)</f>
        <v xml:space="preserve"> -60°...+50° С</v>
      </c>
      <c r="L29" s="72" t="str">
        <f>VLOOKUP($B29,Данные!$A$1:$U$1009,14,FALSE)</f>
        <v>100 000 ч.</v>
      </c>
      <c r="M29" s="72" t="str">
        <f>VLOOKUP($B29,Данные!$A$1:$U$1009,10,FALSE)</f>
        <v>274x245x163</v>
      </c>
      <c r="N29" s="72">
        <f>VLOOKUP($B29,Данные!$A$1:$U$1009,11,FALSE)</f>
        <v>0</v>
      </c>
      <c r="O29" s="92" t="str">
        <f>VLOOKUP($B29,Данные!$A$1:$U$1009,9,FALSE)</f>
        <v>-</v>
      </c>
      <c r="P29" s="34">
        <f>VLOOKUP($B29,Данные!$A$1:$U$1009,2,FALSE)</f>
        <v>96</v>
      </c>
      <c r="Q29" s="44">
        <f>VLOOKUP($B29,Данные!$A$1:$U$1009,3,FALSE)</f>
        <v>13440</v>
      </c>
      <c r="R29" s="101">
        <f t="shared" si="4"/>
        <v>140</v>
      </c>
      <c r="S29" s="89" t="str">
        <f>VLOOKUP($B29,Данные!$A$1:$U$1009,15,FALSE)</f>
        <v>5000К 4000К* 3000К*</v>
      </c>
      <c r="T29" s="89">
        <f>VLOOKUP($B29,Данные!$A$1:$U$1009,7,FALSE)</f>
        <v>67</v>
      </c>
      <c r="U29" s="104" t="str">
        <f>VLOOKUP($B29,Данные!$A$1:$U$1009,16,FALSE)</f>
        <v>5 лет</v>
      </c>
      <c r="V29" s="407">
        <v>5670</v>
      </c>
    </row>
    <row r="30" spans="1:22" s="5" customFormat="1" ht="69.900000000000006" customHeight="1">
      <c r="A30" s="365"/>
      <c r="B30" s="18" t="s">
        <v>117</v>
      </c>
      <c r="C30" s="186">
        <f>VLOOKUP(B30,Данные!A:Z,26,FALSE)</f>
        <v>1018</v>
      </c>
      <c r="D30" s="337"/>
      <c r="E30" s="338"/>
      <c r="F30" s="134" t="str">
        <f>VLOOKUP($B30,Данные!$A$1:$U$1009,6,FALSE)</f>
        <v>Л (полуширокая)</v>
      </c>
      <c r="G30" s="134" t="str">
        <f>VLOOKUP($B30,Данные!$A$1:$U$1009,8,FALSE)</f>
        <v>Samsung LM281</v>
      </c>
      <c r="H30" s="134" t="str">
        <f>VLOOKUP($B30,Данные!$A$1:$U$1009,12,FALSE)</f>
        <v>Экструдированный алюминиевый профиль (анодированный), прозрачное минеральное стекло**</v>
      </c>
      <c r="I30" s="134" t="str">
        <f>VLOOKUP($B30,Данные!$A$1:$U$1009,4,FALSE)</f>
        <v>176-264В AС</v>
      </c>
      <c r="J30" s="134">
        <f>VLOOKUP($B30,Данные!$A$1:$U$1009,5,FALSE)</f>
        <v>0.95</v>
      </c>
      <c r="K30" s="134" t="str">
        <f>VLOOKUP($B30,Данные!$A$1:$U$1009,13,FALSE)</f>
        <v xml:space="preserve"> -60°...+50° С</v>
      </c>
      <c r="L30" s="134" t="str">
        <f>VLOOKUP($B30,Данные!$A$1:$U$1009,14,FALSE)</f>
        <v>100 000 ч.</v>
      </c>
      <c r="M30" s="134" t="str">
        <f>VLOOKUP($B30,Данные!$A$1:$U$1009,10,FALSE)</f>
        <v>324x245x163</v>
      </c>
      <c r="N30" s="134">
        <f>VLOOKUP($B30,Данные!$A$1:$U$1009,11,FALSE)</f>
        <v>0</v>
      </c>
      <c r="O30" s="92" t="str">
        <f>VLOOKUP($B30,Данные!$A$1:$U$1009,9,FALSE)</f>
        <v>-</v>
      </c>
      <c r="P30" s="34">
        <f>VLOOKUP($B30,Данные!$A$1:$U$1009,2,FALSE)</f>
        <v>124</v>
      </c>
      <c r="Q30" s="132">
        <f>VLOOKUP($B30,Данные!$A$1:$U$1009,3,FALSE)</f>
        <v>17360</v>
      </c>
      <c r="R30" s="101">
        <f t="shared" ref="R30:R31" si="14">Q30/P30</f>
        <v>140</v>
      </c>
      <c r="S30" s="89" t="str">
        <f>VLOOKUP($B30,Данные!$A$1:$U$1009,15,FALSE)</f>
        <v>5000К 4000К* 3000К*</v>
      </c>
      <c r="T30" s="89">
        <f>VLOOKUP($B30,Данные!$A$1:$U$1009,7,FALSE)</f>
        <v>67</v>
      </c>
      <c r="U30" s="104" t="str">
        <f>VLOOKUP($B30,Данные!$A$1:$U$1009,16,FALSE)</f>
        <v>5 лет</v>
      </c>
      <c r="V30" s="407">
        <v>6410</v>
      </c>
    </row>
    <row r="31" spans="1:22" s="5" customFormat="1" ht="69.900000000000006" customHeight="1">
      <c r="A31" s="365"/>
      <c r="B31" s="18" t="s">
        <v>325</v>
      </c>
      <c r="C31" s="186">
        <f>VLOOKUP(B31,Данные!A:Z,26,FALSE)</f>
        <v>1023</v>
      </c>
      <c r="D31" s="337"/>
      <c r="E31" s="338"/>
      <c r="F31" s="134" t="str">
        <f>VLOOKUP($B31,Данные!$A$1:$U$1009,6,FALSE)</f>
        <v>Л (полуширокая)</v>
      </c>
      <c r="G31" s="134" t="str">
        <f>VLOOKUP($B31,Данные!$A$1:$U$1009,8,FALSE)</f>
        <v>Samsung LM281</v>
      </c>
      <c r="H31" s="134" t="str">
        <f>VLOOKUP($B31,Данные!$A$1:$U$1009,12,FALSE)</f>
        <v>Экструдированный алюминиевый профиль (анодированный), прозрачное минеральное стекло**</v>
      </c>
      <c r="I31" s="134" t="str">
        <f>VLOOKUP($B31,Данные!$A$1:$U$1009,4,FALSE)</f>
        <v>176-264В AС</v>
      </c>
      <c r="J31" s="134">
        <f>VLOOKUP($B31,Данные!$A$1:$U$1009,5,FALSE)</f>
        <v>0.95</v>
      </c>
      <c r="K31" s="134" t="str">
        <f>VLOOKUP($B31,Данные!$A$1:$U$1009,13,FALSE)</f>
        <v xml:space="preserve"> -60°...+50° С</v>
      </c>
      <c r="L31" s="134" t="str">
        <f>VLOOKUP($B31,Данные!$A$1:$U$1009,14,FALSE)</f>
        <v>100 000 ч.</v>
      </c>
      <c r="M31" s="134" t="str">
        <f>VLOOKUP($B31,Данные!$A$1:$U$1009,10,FALSE)</f>
        <v>464х245х163</v>
      </c>
      <c r="N31" s="134">
        <f>VLOOKUP($B31,Данные!$A$1:$U$1009,11,FALSE)</f>
        <v>0</v>
      </c>
      <c r="O31" s="92" t="str">
        <f>VLOOKUP($B31,Данные!$A$1:$U$1009,9,FALSE)</f>
        <v>-</v>
      </c>
      <c r="P31" s="34">
        <f>VLOOKUP($B31,Данные!$A$1:$U$1009,2,FALSE)</f>
        <v>160</v>
      </c>
      <c r="Q31" s="132">
        <f>VLOOKUP($B31,Данные!$A$1:$U$1009,3,FALSE)</f>
        <v>22400</v>
      </c>
      <c r="R31" s="101">
        <f t="shared" si="14"/>
        <v>140</v>
      </c>
      <c r="S31" s="89" t="str">
        <f>VLOOKUP($B31,Данные!$A$1:$U$1009,15,FALSE)</f>
        <v>5000К 4000К* 3000К*</v>
      </c>
      <c r="T31" s="89">
        <f>VLOOKUP($B31,Данные!$A$1:$U$1009,7,FALSE)</f>
        <v>67</v>
      </c>
      <c r="U31" s="104" t="str">
        <f>VLOOKUP($B31,Данные!$A$1:$U$1009,16,FALSE)</f>
        <v>5 лет</v>
      </c>
      <c r="V31" s="407">
        <v>9005</v>
      </c>
    </row>
    <row r="32" spans="1:22" s="5" customFormat="1" ht="69.900000000000006" customHeight="1">
      <c r="A32" s="365"/>
      <c r="B32" s="18" t="s">
        <v>123</v>
      </c>
      <c r="C32" s="186">
        <f>VLOOKUP(B32,Данные!A:Z,26,FALSE)</f>
        <v>1034</v>
      </c>
      <c r="D32" s="337"/>
      <c r="E32" s="338" t="str">
        <f t="shared" si="13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524x245x163
Вес, кг: 0</v>
      </c>
      <c r="F32" s="72" t="str">
        <f>VLOOKUP($B32,Данные!$A$1:$U$1009,6,FALSE)</f>
        <v>Л (полуширокая)</v>
      </c>
      <c r="G32" s="72" t="str">
        <f>VLOOKUP($B32,Данные!$A$1:$U$1009,8,FALSE)</f>
        <v>Samsung LM281</v>
      </c>
      <c r="H32" s="72" t="str">
        <f>VLOOKUP($B32,Данные!$A$1:$U$1009,12,FALSE)</f>
        <v>Экструдированный алюминиевый профиль (анодированный), прозрачное минеральное стекло**</v>
      </c>
      <c r="I32" s="72" t="str">
        <f>VLOOKUP($B32,Данные!$A$1:$U$1009,4,FALSE)</f>
        <v>176-264В AС</v>
      </c>
      <c r="J32" s="72">
        <f>VLOOKUP($B32,Данные!$A$1:$U$1009,5,FALSE)</f>
        <v>0.95</v>
      </c>
      <c r="K32" s="72" t="str">
        <f>VLOOKUP($B32,Данные!$A$1:$U$1009,13,FALSE)</f>
        <v xml:space="preserve"> -60°...+50° С</v>
      </c>
      <c r="L32" s="72" t="str">
        <f>VLOOKUP($B32,Данные!$A$1:$U$1009,14,FALSE)</f>
        <v>100 000 ч.</v>
      </c>
      <c r="M32" s="72" t="str">
        <f>VLOOKUP($B32,Данные!$A$1:$U$1009,10,FALSE)</f>
        <v>524x245x163</v>
      </c>
      <c r="N32" s="72">
        <f>VLOOKUP($B32,Данные!$A$1:$U$1009,11,FALSE)</f>
        <v>0</v>
      </c>
      <c r="O32" s="92" t="str">
        <f>VLOOKUP($B32,Данные!$A$1:$U$1009,9,FALSE)</f>
        <v>-</v>
      </c>
      <c r="P32" s="34">
        <f>VLOOKUP($B32,Данные!$A$1:$U$1009,2,FALSE)</f>
        <v>192</v>
      </c>
      <c r="Q32" s="44">
        <f>VLOOKUP($B32,Данные!$A$1:$U$1009,3,FALSE)</f>
        <v>26880</v>
      </c>
      <c r="R32" s="101">
        <f t="shared" si="4"/>
        <v>140</v>
      </c>
      <c r="S32" s="89" t="str">
        <f>VLOOKUP($B32,Данные!$A$1:$U$1009,15,FALSE)</f>
        <v>5000К 4000К* 3000К*</v>
      </c>
      <c r="T32" s="89">
        <f>VLOOKUP($B32,Данные!$A$1:$U$1009,7,FALSE)</f>
        <v>67</v>
      </c>
      <c r="U32" s="104" t="str">
        <f>VLOOKUP($B32,Данные!$A$1:$U$1009,16,FALSE)</f>
        <v>5 лет</v>
      </c>
      <c r="V32" s="407">
        <v>9475</v>
      </c>
    </row>
    <row r="33" spans="1:22" s="5" customFormat="1" ht="69.900000000000006" customHeight="1" thickBot="1">
      <c r="A33" s="365"/>
      <c r="B33" s="15" t="s">
        <v>340</v>
      </c>
      <c r="C33" s="187">
        <f>VLOOKUP(B33,Данные!A:Z,26,FALSE)</f>
        <v>1039</v>
      </c>
      <c r="D33" s="343"/>
      <c r="E33" s="345" t="str">
        <f t="shared" si="13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624х245х163
Вес, кг: 0</v>
      </c>
      <c r="F33" s="73" t="str">
        <f>VLOOKUP($B33,Данные!$A$1:$U$1009,6,FALSE)</f>
        <v>Л (полуширокая)</v>
      </c>
      <c r="G33" s="73" t="str">
        <f>VLOOKUP($B33,Данные!$A$1:$U$1009,8,FALSE)</f>
        <v>Samsung LM281</v>
      </c>
      <c r="H33" s="73" t="str">
        <f>VLOOKUP($B33,Данные!$A$1:$U$1009,12,FALSE)</f>
        <v>Экструдированный алюминиевый профиль (анодированный), прозрачное минеральное стекло**</v>
      </c>
      <c r="I33" s="73" t="str">
        <f>VLOOKUP($B33,Данные!$A$1:$U$1009,4,FALSE)</f>
        <v>176-264В AС</v>
      </c>
      <c r="J33" s="73">
        <f>VLOOKUP($B33,Данные!$A$1:$U$1009,5,FALSE)</f>
        <v>0.95</v>
      </c>
      <c r="K33" s="73" t="str">
        <f>VLOOKUP($B33,Данные!$A$1:$U$1009,13,FALSE)</f>
        <v xml:space="preserve"> -60°...+50° С</v>
      </c>
      <c r="L33" s="73" t="str">
        <f>VLOOKUP($B33,Данные!$A$1:$U$1009,14,FALSE)</f>
        <v>100 000 ч.</v>
      </c>
      <c r="M33" s="73" t="str">
        <f>VLOOKUP($B33,Данные!$A$1:$U$1009,10,FALSE)</f>
        <v>624х245х163</v>
      </c>
      <c r="N33" s="73">
        <f>VLOOKUP($B33,Данные!$A$1:$U$1009,11,FALSE)</f>
        <v>0</v>
      </c>
      <c r="O33" s="93" t="str">
        <f>VLOOKUP($B33,Данные!$A$1:$U$1009,9,FALSE)</f>
        <v>-</v>
      </c>
      <c r="P33" s="74">
        <f>VLOOKUP($B33,Данные!$A$1:$U$1009,2,FALSE)</f>
        <v>248</v>
      </c>
      <c r="Q33" s="43">
        <f>VLOOKUP($B33,Данные!$A$1:$U$1009,3,FALSE)</f>
        <v>34720</v>
      </c>
      <c r="R33" s="102">
        <f t="shared" si="4"/>
        <v>140</v>
      </c>
      <c r="S33" s="90" t="str">
        <f>VLOOKUP($B33,Данные!$A$1:$U$1009,15,FALSE)</f>
        <v>5000К 4000К* 3000К*</v>
      </c>
      <c r="T33" s="90">
        <f>VLOOKUP($B33,Данные!$A$1:$U$1009,7,FALSE)</f>
        <v>67</v>
      </c>
      <c r="U33" s="105" t="str">
        <f>VLOOKUP($B33,Данные!$A$1:$U$1009,16,FALSE)</f>
        <v>5 лет</v>
      </c>
      <c r="V33" s="408">
        <v>13345</v>
      </c>
    </row>
    <row r="34" spans="1:22" s="5" customFormat="1" ht="69.900000000000006" customHeight="1">
      <c r="A34" s="354"/>
      <c r="B34" s="17" t="s">
        <v>104</v>
      </c>
      <c r="C34" s="185">
        <f>VLOOKUP(B34,Данные!A:Z,26,FALSE)</f>
        <v>1005</v>
      </c>
      <c r="D34" s="342" t="s">
        <v>287</v>
      </c>
      <c r="E34" s="344" t="str">
        <f t="shared" ref="E34" si="15">CONCATENATE(CONCATENATE($F$3,": ",$F34,CHAR(10),$H$3,": ",$H34,CHAR(10),$I$3,": ",$I34,CHAR(10),$J$3,": ",$J34,CHAR(10),$K$3,": ",$K34,CHAR(10),$L$3,": ",$L34,CHAR(10)),"*Цветовая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34" s="71" t="str">
        <f>VLOOKUP($B34,Данные!$A$1:$U$1009,6,FALSE)</f>
        <v>Л (полуширокая)</v>
      </c>
      <c r="G34" s="71" t="str">
        <f>VLOOKUP($B34,Данные!$A$1:$U$1009,8,FALSE)</f>
        <v>Samsung LM281</v>
      </c>
      <c r="H34" s="71" t="str">
        <f>VLOOKUP($B34,Данные!$A$1:$U$1009,12,FALSE)</f>
        <v>Экструдированный алюминиевый профиль (анодированный), прозрачное минеральное стекло**</v>
      </c>
      <c r="I34" s="71" t="str">
        <f>VLOOKUP($B34,Данные!$A$1:$U$1009,4,FALSE)</f>
        <v>176-264В AС</v>
      </c>
      <c r="J34" s="71">
        <f>VLOOKUP($B34,Данные!$A$1:$U$1009,5,FALSE)</f>
        <v>0.95</v>
      </c>
      <c r="K34" s="71" t="str">
        <f>VLOOKUP($B34,Данные!$A$1:$U$1009,13,FALSE)</f>
        <v xml:space="preserve"> -60°...+50° С</v>
      </c>
      <c r="L34" s="71" t="str">
        <f>VLOOKUP($B34,Данные!$A$1:$U$1009,14,FALSE)</f>
        <v>100 000 ч.</v>
      </c>
      <c r="M34" s="71" t="str">
        <f>VLOOKUP($B34,Данные!$A$1:$U$1009,10,FALSE)</f>
        <v>224х220х116</v>
      </c>
      <c r="N34" s="71">
        <f>VLOOKUP($B34,Данные!$A$1:$U$1009,11,FALSE)</f>
        <v>0</v>
      </c>
      <c r="O34" s="91" t="str">
        <f>VLOOKUP($B34,Данные!$A$1:$U$1009,9,FALSE)</f>
        <v>-</v>
      </c>
      <c r="P34" s="33">
        <f>VLOOKUP($B34,Данные!$A$1:$U$1009,2,FALSE)</f>
        <v>64</v>
      </c>
      <c r="Q34" s="42">
        <f>VLOOKUP($B34,Данные!$A$1:$U$1009,3,FALSE)</f>
        <v>8960</v>
      </c>
      <c r="R34" s="100">
        <f t="shared" si="4"/>
        <v>140</v>
      </c>
      <c r="S34" s="88" t="str">
        <f>VLOOKUP($B34,Данные!$A$1:$U$1009,15,FALSE)</f>
        <v>5000К 4000К* 3000К*</v>
      </c>
      <c r="T34" s="88">
        <f>VLOOKUP($B34,Данные!$A$1:$U$1009,7,FALSE)</f>
        <v>67</v>
      </c>
      <c r="U34" s="103" t="str">
        <f>VLOOKUP($B34,Данные!$A$1:$U$1009,16,FALSE)</f>
        <v>5 лет</v>
      </c>
      <c r="V34" s="406">
        <v>4835</v>
      </c>
    </row>
    <row r="35" spans="1:22" s="5" customFormat="1" ht="69.900000000000006" customHeight="1">
      <c r="A35" s="355"/>
      <c r="B35" s="18" t="s">
        <v>110</v>
      </c>
      <c r="C35" s="186">
        <f>VLOOKUP(B35,Данные!A:Z,26,FALSE)</f>
        <v>1011</v>
      </c>
      <c r="D35" s="337"/>
      <c r="E35" s="338" t="str">
        <f t="shared" ref="E35:E39" si="16">CONCATENATE(CONCATENATE($F$3,": ",$F35,CHAR(10),$G$3,": ",$G35,CHAR(10),$H$3,": ",$H35,CHAR(10),$I$3,": ",$I35,CHAR(10),$J$3,": ",$J35,CHAR(10),$K$3,": ",$K35,CHAR(10),$L$3,": ",$L35,CHAR(10)),CONCATENATE($M$3,": ",$M35,CHAR(10),$N$3,": ",$N35))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274х220х116
Вес, кг: 0</v>
      </c>
      <c r="F35" s="72" t="str">
        <f>VLOOKUP($B35,Данные!$A$1:$U$1009,6,FALSE)</f>
        <v>Л (полуширокая)</v>
      </c>
      <c r="G35" s="72" t="str">
        <f>VLOOKUP($B35,Данные!$A$1:$U$1009,8,FALSE)</f>
        <v>Samsung LM281</v>
      </c>
      <c r="H35" s="72" t="str">
        <f>VLOOKUP($B35,Данные!$A$1:$U$1009,12,FALSE)</f>
        <v>Экструдированный алюминиевый профиль (анодированный), прозрачное минеральное стекло**</v>
      </c>
      <c r="I35" s="72" t="str">
        <f>VLOOKUP($B35,Данные!$A$1:$U$1009,4,FALSE)</f>
        <v>176-264В AС</v>
      </c>
      <c r="J35" s="72">
        <f>VLOOKUP($B35,Данные!$A$1:$U$1009,5,FALSE)</f>
        <v>0.95</v>
      </c>
      <c r="K35" s="72" t="str">
        <f>VLOOKUP($B35,Данные!$A$1:$U$1009,13,FALSE)</f>
        <v xml:space="preserve"> -60°...+50° С</v>
      </c>
      <c r="L35" s="72" t="str">
        <f>VLOOKUP($B35,Данные!$A$1:$U$1009,14,FALSE)</f>
        <v>100 000 ч.</v>
      </c>
      <c r="M35" s="72" t="str">
        <f>VLOOKUP($B35,Данные!$A$1:$U$1009,10,FALSE)</f>
        <v>274х220х116</v>
      </c>
      <c r="N35" s="72">
        <f>VLOOKUP($B35,Данные!$A$1:$U$1009,11,FALSE)</f>
        <v>0</v>
      </c>
      <c r="O35" s="92" t="str">
        <f>VLOOKUP($B35,Данные!$A$1:$U$1009,9,FALSE)</f>
        <v>-</v>
      </c>
      <c r="P35" s="34">
        <f>VLOOKUP($B35,Данные!$A$1:$U$1009,2,FALSE)</f>
        <v>96</v>
      </c>
      <c r="Q35" s="44">
        <f>VLOOKUP($B35,Данные!$A$1:$U$1009,3,FALSE)</f>
        <v>13440</v>
      </c>
      <c r="R35" s="101">
        <f t="shared" si="4"/>
        <v>140</v>
      </c>
      <c r="S35" s="89" t="str">
        <f>VLOOKUP($B35,Данные!$A$1:$U$1009,15,FALSE)</f>
        <v>5000К 4000К* 3000К*</v>
      </c>
      <c r="T35" s="89">
        <f>VLOOKUP($B35,Данные!$A$1:$U$1009,7,FALSE)</f>
        <v>67</v>
      </c>
      <c r="U35" s="104" t="str">
        <f>VLOOKUP($B35,Данные!$A$1:$U$1009,16,FALSE)</f>
        <v>5 лет</v>
      </c>
      <c r="V35" s="407">
        <v>5670</v>
      </c>
    </row>
    <row r="36" spans="1:22" s="5" customFormat="1" ht="69.900000000000006" customHeight="1">
      <c r="A36" s="355"/>
      <c r="B36" s="18" t="s">
        <v>116</v>
      </c>
      <c r="C36" s="186">
        <f>VLOOKUP(B36,Данные!A:Z,26,FALSE)</f>
        <v>1017</v>
      </c>
      <c r="D36" s="337"/>
      <c r="E36" s="338"/>
      <c r="F36" s="134" t="str">
        <f>VLOOKUP($B36,Данные!$A$1:$U$1009,6,FALSE)</f>
        <v>Л (полуширокая)</v>
      </c>
      <c r="G36" s="134" t="str">
        <f>VLOOKUP($B36,Данные!$A$1:$U$1009,8,FALSE)</f>
        <v>Samsung LM281</v>
      </c>
      <c r="H36" s="134" t="str">
        <f>VLOOKUP($B36,Данные!$A$1:$U$1009,12,FALSE)</f>
        <v>Экструдированный алюминиевый профиль (анодированный), прозрачное минеральное стекло**</v>
      </c>
      <c r="I36" s="134" t="str">
        <f>VLOOKUP($B36,Данные!$A$1:$U$1009,4,FALSE)</f>
        <v>176-264В AС</v>
      </c>
      <c r="J36" s="134">
        <f>VLOOKUP($B36,Данные!$A$1:$U$1009,5,FALSE)</f>
        <v>0.95</v>
      </c>
      <c r="K36" s="134" t="str">
        <f>VLOOKUP($B36,Данные!$A$1:$U$1009,13,FALSE)</f>
        <v xml:space="preserve"> -60°...+50° С</v>
      </c>
      <c r="L36" s="134" t="str">
        <f>VLOOKUP($B36,Данные!$A$1:$U$1009,14,FALSE)</f>
        <v>100 000 ч.</v>
      </c>
      <c r="M36" s="134" t="str">
        <f>VLOOKUP($B36,Данные!$A$1:$U$1009,10,FALSE)</f>
        <v>324х220х116</v>
      </c>
      <c r="N36" s="134">
        <f>VLOOKUP($B36,Данные!$A$1:$U$1009,11,FALSE)</f>
        <v>0</v>
      </c>
      <c r="O36" s="92" t="str">
        <f>VLOOKUP($B36,Данные!$A$1:$U$1009,9,FALSE)</f>
        <v>-</v>
      </c>
      <c r="P36" s="34">
        <f>VLOOKUP($B36,Данные!$A$1:$U$1009,2,FALSE)</f>
        <v>124</v>
      </c>
      <c r="Q36" s="132">
        <f>VLOOKUP($B36,Данные!$A$1:$U$1009,3,FALSE)</f>
        <v>17360</v>
      </c>
      <c r="R36" s="101">
        <f t="shared" ref="R36:R37" si="17">Q36/P36</f>
        <v>140</v>
      </c>
      <c r="S36" s="89" t="str">
        <f>VLOOKUP($B36,Данные!$A$1:$U$1009,15,FALSE)</f>
        <v>5000К 4000К* 3000К*</v>
      </c>
      <c r="T36" s="89">
        <f>VLOOKUP($B36,Данные!$A$1:$U$1009,7,FALSE)</f>
        <v>67</v>
      </c>
      <c r="U36" s="104" t="str">
        <f>VLOOKUP($B36,Данные!$A$1:$U$1009,16,FALSE)</f>
        <v>5 лет</v>
      </c>
      <c r="V36" s="407">
        <v>6410</v>
      </c>
    </row>
    <row r="37" spans="1:22" s="5" customFormat="1" ht="69.900000000000006" customHeight="1">
      <c r="A37" s="355"/>
      <c r="B37" s="18" t="s">
        <v>326</v>
      </c>
      <c r="C37" s="186">
        <f>VLOOKUP(B37,Данные!A:Z,26,FALSE)</f>
        <v>1024</v>
      </c>
      <c r="D37" s="337"/>
      <c r="E37" s="338"/>
      <c r="F37" s="134" t="str">
        <f>VLOOKUP($B37,Данные!$A$1:$U$1009,6,FALSE)</f>
        <v>Л (полуширокая)</v>
      </c>
      <c r="G37" s="134" t="str">
        <f>VLOOKUP($B37,Данные!$A$1:$U$1009,8,FALSE)</f>
        <v>Samsung LM281</v>
      </c>
      <c r="H37" s="134" t="str">
        <f>VLOOKUP($B37,Данные!$A$1:$U$1009,12,FALSE)</f>
        <v>Экструдированный алюминиевый профиль (анодированный), прозрачное минеральное стекло**</v>
      </c>
      <c r="I37" s="134" t="str">
        <f>VLOOKUP($B37,Данные!$A$1:$U$1009,4,FALSE)</f>
        <v>176-264В AС</v>
      </c>
      <c r="J37" s="134">
        <f>VLOOKUP($B37,Данные!$A$1:$U$1009,5,FALSE)</f>
        <v>0.95</v>
      </c>
      <c r="K37" s="134" t="str">
        <f>VLOOKUP($B37,Данные!$A$1:$U$1009,13,FALSE)</f>
        <v xml:space="preserve"> -60°...+50° С</v>
      </c>
      <c r="L37" s="134" t="str">
        <f>VLOOKUP($B37,Данные!$A$1:$U$1009,14,FALSE)</f>
        <v>100 000 ч.</v>
      </c>
      <c r="M37" s="134" t="str">
        <f>VLOOKUP($B37,Данные!$A$1:$U$1009,10,FALSE)</f>
        <v>464х220х116</v>
      </c>
      <c r="N37" s="134">
        <f>VLOOKUP($B37,Данные!$A$1:$U$1009,11,FALSE)</f>
        <v>0</v>
      </c>
      <c r="O37" s="92" t="str">
        <f>VLOOKUP($B37,Данные!$A$1:$U$1009,9,FALSE)</f>
        <v>-</v>
      </c>
      <c r="P37" s="34">
        <f>VLOOKUP($B37,Данные!$A$1:$U$1009,2,FALSE)</f>
        <v>160</v>
      </c>
      <c r="Q37" s="132">
        <f>VLOOKUP($B37,Данные!$A$1:$U$1009,3,FALSE)</f>
        <v>22400</v>
      </c>
      <c r="R37" s="101">
        <f t="shared" si="17"/>
        <v>140</v>
      </c>
      <c r="S37" s="89" t="str">
        <f>VLOOKUP($B37,Данные!$A$1:$U$1009,15,FALSE)</f>
        <v>5000К 4000К* 3000К*</v>
      </c>
      <c r="T37" s="89">
        <f>VLOOKUP($B37,Данные!$A$1:$U$1009,7,FALSE)</f>
        <v>67</v>
      </c>
      <c r="U37" s="104" t="str">
        <f>VLOOKUP($B37,Данные!$A$1:$U$1009,16,FALSE)</f>
        <v>5 лет</v>
      </c>
      <c r="V37" s="407">
        <v>9005</v>
      </c>
    </row>
    <row r="38" spans="1:22" s="5" customFormat="1" ht="69.900000000000006" customHeight="1">
      <c r="A38" s="355"/>
      <c r="B38" s="18" t="s">
        <v>122</v>
      </c>
      <c r="C38" s="186">
        <f>VLOOKUP(B38,Данные!A:Z,26,FALSE)</f>
        <v>1033</v>
      </c>
      <c r="D38" s="337"/>
      <c r="E38" s="338" t="str">
        <f t="shared" si="16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524х220х116
Вес, кг: 0</v>
      </c>
      <c r="F38" s="72" t="str">
        <f>VLOOKUP($B38,Данные!$A$1:$U$1009,6,FALSE)</f>
        <v>Л (полуширокая)</v>
      </c>
      <c r="G38" s="72" t="str">
        <f>VLOOKUP($B38,Данные!$A$1:$U$1009,8,FALSE)</f>
        <v>Samsung LM281</v>
      </c>
      <c r="H38" s="72" t="str">
        <f>VLOOKUP($B38,Данные!$A$1:$U$1009,12,FALSE)</f>
        <v>Экструдированный алюминиевый профиль (анодированный), прозрачное минеральное стекло**</v>
      </c>
      <c r="I38" s="72" t="str">
        <f>VLOOKUP($B38,Данные!$A$1:$U$1009,4,FALSE)</f>
        <v>176-264В AС</v>
      </c>
      <c r="J38" s="72">
        <f>VLOOKUP($B38,Данные!$A$1:$U$1009,5,FALSE)</f>
        <v>0.95</v>
      </c>
      <c r="K38" s="72" t="str">
        <f>VLOOKUP($B38,Данные!$A$1:$U$1009,13,FALSE)</f>
        <v xml:space="preserve"> -60°...+50° С</v>
      </c>
      <c r="L38" s="72" t="str">
        <f>VLOOKUP($B38,Данные!$A$1:$U$1009,14,FALSE)</f>
        <v>100 000 ч.</v>
      </c>
      <c r="M38" s="72" t="str">
        <f>VLOOKUP($B38,Данные!$A$1:$U$1009,10,FALSE)</f>
        <v>524х220х116</v>
      </c>
      <c r="N38" s="72">
        <f>VLOOKUP($B38,Данные!$A$1:$U$1009,11,FALSE)</f>
        <v>0</v>
      </c>
      <c r="O38" s="92" t="str">
        <f>VLOOKUP($B38,Данные!$A$1:$U$1009,9,FALSE)</f>
        <v>-</v>
      </c>
      <c r="P38" s="34">
        <f>VLOOKUP($B38,Данные!$A$1:$U$1009,2,FALSE)</f>
        <v>192</v>
      </c>
      <c r="Q38" s="44">
        <f>VLOOKUP($B38,Данные!$A$1:$U$1009,3,FALSE)</f>
        <v>26880</v>
      </c>
      <c r="R38" s="101">
        <f t="shared" si="4"/>
        <v>140</v>
      </c>
      <c r="S38" s="89" t="str">
        <f>VLOOKUP($B38,Данные!$A$1:$U$1009,15,FALSE)</f>
        <v>5000К 4000К* 3000К*</v>
      </c>
      <c r="T38" s="89">
        <f>VLOOKUP($B38,Данные!$A$1:$U$1009,7,FALSE)</f>
        <v>67</v>
      </c>
      <c r="U38" s="104" t="str">
        <f>VLOOKUP($B38,Данные!$A$1:$U$1009,16,FALSE)</f>
        <v>5 лет</v>
      </c>
      <c r="V38" s="407">
        <v>9475</v>
      </c>
    </row>
    <row r="39" spans="1:22" s="5" customFormat="1" ht="69.900000000000006" customHeight="1" thickBot="1">
      <c r="A39" s="356"/>
      <c r="B39" s="15" t="s">
        <v>339</v>
      </c>
      <c r="C39" s="187">
        <f>VLOOKUP(B39,Данные!A:Z,26,FALSE)</f>
        <v>1040</v>
      </c>
      <c r="D39" s="343"/>
      <c r="E39" s="345" t="str">
        <f t="shared" si="16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624х220х116
Вес, кг: 0</v>
      </c>
      <c r="F39" s="73" t="str">
        <f>VLOOKUP($B39,Данные!$A$1:$U$1009,6,FALSE)</f>
        <v>Л (полуширокая)</v>
      </c>
      <c r="G39" s="73" t="str">
        <f>VLOOKUP($B39,Данные!$A$1:$U$1009,8,FALSE)</f>
        <v>Samsung LM281</v>
      </c>
      <c r="H39" s="73" t="str">
        <f>VLOOKUP($B39,Данные!$A$1:$U$1009,12,FALSE)</f>
        <v>Экструдированный алюминиевый профиль (анодированный), прозрачное минеральное стекло**</v>
      </c>
      <c r="I39" s="73" t="str">
        <f>VLOOKUP($B39,Данные!$A$1:$U$1009,4,FALSE)</f>
        <v>176-264В AС</v>
      </c>
      <c r="J39" s="73">
        <f>VLOOKUP($B39,Данные!$A$1:$U$1009,5,FALSE)</f>
        <v>0.95</v>
      </c>
      <c r="K39" s="73" t="str">
        <f>VLOOKUP($B39,Данные!$A$1:$U$1009,13,FALSE)</f>
        <v xml:space="preserve"> -60°...+50° С</v>
      </c>
      <c r="L39" s="73" t="str">
        <f>VLOOKUP($B39,Данные!$A$1:$U$1009,14,FALSE)</f>
        <v>100 000 ч.</v>
      </c>
      <c r="M39" s="73" t="str">
        <f>VLOOKUP($B39,Данные!$A$1:$U$1009,10,FALSE)</f>
        <v>624х220х116</v>
      </c>
      <c r="N39" s="73">
        <f>VLOOKUP($B39,Данные!$A$1:$U$1009,11,FALSE)</f>
        <v>0</v>
      </c>
      <c r="O39" s="93" t="str">
        <f>VLOOKUP($B39,Данные!$A$1:$U$1009,9,FALSE)</f>
        <v>-</v>
      </c>
      <c r="P39" s="74">
        <f>VLOOKUP($B39,Данные!$A$1:$U$1009,2,FALSE)</f>
        <v>248</v>
      </c>
      <c r="Q39" s="43">
        <f>VLOOKUP($B39,Данные!$A$1:$U$1009,3,FALSE)</f>
        <v>34720</v>
      </c>
      <c r="R39" s="102">
        <f t="shared" si="4"/>
        <v>140</v>
      </c>
      <c r="S39" s="90" t="str">
        <f>VLOOKUP($B39,Данные!$A$1:$U$1009,15,FALSE)</f>
        <v>5000К 4000К* 3000К*</v>
      </c>
      <c r="T39" s="90">
        <f>VLOOKUP($B39,Данные!$A$1:$U$1009,7,FALSE)</f>
        <v>67</v>
      </c>
      <c r="U39" s="105" t="str">
        <f>VLOOKUP($B39,Данные!$A$1:$U$1009,16,FALSE)</f>
        <v>5 лет</v>
      </c>
      <c r="V39" s="408">
        <v>13345</v>
      </c>
    </row>
    <row r="40" spans="1:22" s="5" customFormat="1" ht="69.900000000000006" customHeight="1">
      <c r="A40" s="366"/>
      <c r="B40" s="17" t="s">
        <v>130</v>
      </c>
      <c r="C40" s="185">
        <f>VLOOKUP(B40,Данные!A:Z,26,FALSE)</f>
        <v>1053</v>
      </c>
      <c r="D40" s="342" t="s">
        <v>287</v>
      </c>
      <c r="E40" s="344" t="str">
        <f t="shared" ref="E40" si="18">CONCATENATE(CONCATENATE($F$3,": ",$F40,CHAR(10),$H$3,": ",$H40,CHAR(10),$I$3,": ",$I40,CHAR(10),$J$3,": ",$J40,CHAR(10),$K$3,": ",$K40,CHAR(10),$L$3,": ",$L40,CHAR(10)),"*Цветовая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40" s="71" t="str">
        <f>VLOOKUP($B40,Данные!$A$1:$U$1009,6,FALSE)</f>
        <v>Д (косинусная)</v>
      </c>
      <c r="G40" s="71" t="str">
        <f>VLOOKUP($B40,Данные!$A$1:$U$1009,8,FALSE)</f>
        <v>Samsung LM281</v>
      </c>
      <c r="H40" s="71" t="str">
        <f>VLOOKUP($B40,Данные!$A$1:$U$1009,12,FALSE)</f>
        <v>Экструдированный алюминиевый профиль (анодированный), прозрачное минеральное стекло**</v>
      </c>
      <c r="I40" s="71" t="str">
        <f>VLOOKUP($B40,Данные!$A$1:$U$1009,4,FALSE)</f>
        <v>176-264В AС</v>
      </c>
      <c r="J40" s="71">
        <f>VLOOKUP($B40,Данные!$A$1:$U$1009,5,FALSE)</f>
        <v>0.95</v>
      </c>
      <c r="K40" s="71" t="str">
        <f>VLOOKUP($B40,Данные!$A$1:$U$1009,13,FALSE)</f>
        <v xml:space="preserve"> -60°...+50° С</v>
      </c>
      <c r="L40" s="71" t="str">
        <f>VLOOKUP($B40,Данные!$A$1:$U$1009,14,FALSE)</f>
        <v>100 000 ч</v>
      </c>
      <c r="M40" s="71" t="str">
        <f>VLOOKUP($B40,Данные!$A$1:$U$1009,10,FALSE)</f>
        <v>224x320x147</v>
      </c>
      <c r="N40" s="71">
        <f>VLOOKUP($B40,Данные!$A$1:$U$1009,11,FALSE)</f>
        <v>0</v>
      </c>
      <c r="O40" s="91" t="str">
        <f>VLOOKUP($B40,Данные!$A$1:$U$1009,9,FALSE)</f>
        <v>-</v>
      </c>
      <c r="P40" s="33">
        <f>VLOOKUP($B40,Данные!$A$1:$U$1009,2,FALSE)</f>
        <v>96</v>
      </c>
      <c r="Q40" s="42">
        <f>VLOOKUP($B40,Данные!$A$1:$U$1009,3,FALSE)</f>
        <v>13440</v>
      </c>
      <c r="R40" s="100">
        <f t="shared" si="4"/>
        <v>140</v>
      </c>
      <c r="S40" s="88" t="str">
        <f>VLOOKUP($B40,Данные!$A$1:$U$1009,15,FALSE)</f>
        <v>5000К 4000К* 3000К*</v>
      </c>
      <c r="T40" s="88">
        <f>VLOOKUP($B40,Данные!$A$1:$U$1009,7,FALSE)</f>
        <v>67</v>
      </c>
      <c r="U40" s="103" t="str">
        <f>VLOOKUP($B40,Данные!$A$1:$U$1009,16,FALSE)</f>
        <v>5 лет</v>
      </c>
      <c r="V40" s="406">
        <v>7250</v>
      </c>
    </row>
    <row r="41" spans="1:22" s="5" customFormat="1" ht="69.900000000000006" customHeight="1">
      <c r="A41" s="366"/>
      <c r="B41" s="18" t="s">
        <v>131</v>
      </c>
      <c r="C41" s="186">
        <f>VLOOKUP(B41,Данные!A:Z,26,FALSE)</f>
        <v>1054</v>
      </c>
      <c r="D41" s="337"/>
      <c r="E41" s="338" t="str">
        <f t="shared" ref="E41:E45" si="19">CONCATENATE(CONCATENATE($F$3,": ",$F41,CHAR(10),$G$3,": ",$G41,CHAR(10),$H$3,": ",$H41,CHAR(10),$I$3,": ",$I41,CHAR(10),$J$3,": ",$J41,CHAR(10),$K$3,": ",$K41,CHAR(10),$L$3,": ",$L41,CHAR(10)),CONCATENATE($M$3,": ",$M41,CHAR(10),$N$3,": ",$N41))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274x320x147
Вес, кг: 0</v>
      </c>
      <c r="F41" s="72" t="str">
        <f>VLOOKUP($B41,Данные!$A$1:$U$1009,6,FALSE)</f>
        <v>Д (косинусная)</v>
      </c>
      <c r="G41" s="72" t="str">
        <f>VLOOKUP($B41,Данные!$A$1:$U$1009,8,FALSE)</f>
        <v>Samsung LM281</v>
      </c>
      <c r="H41" s="72" t="str">
        <f>VLOOKUP($B41,Данные!$A$1:$U$1009,12,FALSE)</f>
        <v>Экструдированный алюминиевый профиль (анодированный), прозрачное минеральное стекло**</v>
      </c>
      <c r="I41" s="72" t="str">
        <f>VLOOKUP($B41,Данные!$A$1:$U$1009,4,FALSE)</f>
        <v>176-264В AС</v>
      </c>
      <c r="J41" s="72">
        <f>VLOOKUP($B41,Данные!$A$1:$U$1009,5,FALSE)</f>
        <v>0.95</v>
      </c>
      <c r="K41" s="72" t="str">
        <f>VLOOKUP($B41,Данные!$A$1:$U$1009,13,FALSE)</f>
        <v xml:space="preserve"> -60°...+50° С</v>
      </c>
      <c r="L41" s="72" t="str">
        <f>VLOOKUP($B41,Данные!$A$1:$U$1009,14,FALSE)</f>
        <v>100 000 ч</v>
      </c>
      <c r="M41" s="72" t="str">
        <f>VLOOKUP($B41,Данные!$A$1:$U$1009,10,FALSE)</f>
        <v>274x320x147</v>
      </c>
      <c r="N41" s="72">
        <f>VLOOKUP($B41,Данные!$A$1:$U$1009,11,FALSE)</f>
        <v>0</v>
      </c>
      <c r="O41" s="92" t="str">
        <f>VLOOKUP($B41,Данные!$A$1:$U$1009,9,FALSE)</f>
        <v>-</v>
      </c>
      <c r="P41" s="34">
        <f>VLOOKUP($B41,Данные!$A$1:$U$1009,2,FALSE)</f>
        <v>144</v>
      </c>
      <c r="Q41" s="44">
        <f>VLOOKUP($B41,Данные!$A$1:$U$1009,3,FALSE)</f>
        <v>20160</v>
      </c>
      <c r="R41" s="101">
        <f t="shared" si="4"/>
        <v>140</v>
      </c>
      <c r="S41" s="89" t="str">
        <f>VLOOKUP($B41,Данные!$A$1:$U$1009,15,FALSE)</f>
        <v>5000К 4000К* 3000К*</v>
      </c>
      <c r="T41" s="89">
        <f>VLOOKUP($B41,Данные!$A$1:$U$1009,7,FALSE)</f>
        <v>67</v>
      </c>
      <c r="U41" s="104" t="str">
        <f>VLOOKUP($B41,Данные!$A$1:$U$1009,16,FALSE)</f>
        <v>5 лет</v>
      </c>
      <c r="V41" s="407">
        <v>8500</v>
      </c>
    </row>
    <row r="42" spans="1:22" s="5" customFormat="1" ht="69.900000000000006" customHeight="1">
      <c r="A42" s="366"/>
      <c r="B42" s="18" t="s">
        <v>132</v>
      </c>
      <c r="C42" s="186">
        <f>VLOOKUP(B42,Данные!A:Z,26,FALSE)</f>
        <v>1055</v>
      </c>
      <c r="D42" s="337"/>
      <c r="E42" s="338"/>
      <c r="F42" s="134" t="str">
        <f>VLOOKUP($B42,Данные!$A$1:$U$1009,6,FALSE)</f>
        <v>Д (косинусная)</v>
      </c>
      <c r="G42" s="134" t="str">
        <f>VLOOKUP($B42,Данные!$A$1:$U$1009,8,FALSE)</f>
        <v>Samsung LM281</v>
      </c>
      <c r="H42" s="134" t="str">
        <f>VLOOKUP($B42,Данные!$A$1:$U$1009,12,FALSE)</f>
        <v>Экструдированный алюминиевый профиль (анодированный), прозрачное минеральное стекло**</v>
      </c>
      <c r="I42" s="134" t="str">
        <f>VLOOKUP($B42,Данные!$A$1:$U$1009,4,FALSE)</f>
        <v>176-264В AС</v>
      </c>
      <c r="J42" s="134">
        <f>VLOOKUP($B42,Данные!$A$1:$U$1009,5,FALSE)</f>
        <v>0.95</v>
      </c>
      <c r="K42" s="134" t="str">
        <f>VLOOKUP($B42,Данные!$A$1:$U$1009,13,FALSE)</f>
        <v xml:space="preserve"> -60°...+50° С</v>
      </c>
      <c r="L42" s="134" t="str">
        <f>VLOOKUP($B42,Данные!$A$1:$U$1009,14,FALSE)</f>
        <v>100 000 ч</v>
      </c>
      <c r="M42" s="134" t="str">
        <f>VLOOKUP($B42,Данные!$A$1:$U$1009,10,FALSE)</f>
        <v>324x320x147</v>
      </c>
      <c r="N42" s="134">
        <f>VLOOKUP($B42,Данные!$A$1:$U$1009,11,FALSE)</f>
        <v>0</v>
      </c>
      <c r="O42" s="92" t="str">
        <f>VLOOKUP($B42,Данные!$A$1:$U$1009,9,FALSE)</f>
        <v>-</v>
      </c>
      <c r="P42" s="34">
        <f>VLOOKUP($B42,Данные!$A$1:$U$1009,2,FALSE)</f>
        <v>186</v>
      </c>
      <c r="Q42" s="132">
        <f>VLOOKUP($B42,Данные!$A$1:$U$1009,3,FALSE)</f>
        <v>26040</v>
      </c>
      <c r="R42" s="101">
        <f t="shared" ref="R42:R43" si="20">Q42/P42</f>
        <v>140</v>
      </c>
      <c r="S42" s="89" t="str">
        <f>VLOOKUP($B42,Данные!$A$1:$U$1009,15,FALSE)</f>
        <v>5000К 4000К* 3000К*</v>
      </c>
      <c r="T42" s="89">
        <f>VLOOKUP($B42,Данные!$A$1:$U$1009,7,FALSE)</f>
        <v>67</v>
      </c>
      <c r="U42" s="104" t="str">
        <f>VLOOKUP($B42,Данные!$A$1:$U$1009,16,FALSE)</f>
        <v>5 лет</v>
      </c>
      <c r="V42" s="407">
        <v>9600</v>
      </c>
    </row>
    <row r="43" spans="1:22" s="5" customFormat="1" ht="69.900000000000006" customHeight="1">
      <c r="A43" s="366"/>
      <c r="B43" s="18" t="s">
        <v>321</v>
      </c>
      <c r="C43" s="186">
        <f>VLOOKUP(B43,Данные!A:Z,26,FALSE)</f>
        <v>1025</v>
      </c>
      <c r="D43" s="337"/>
      <c r="E43" s="338"/>
      <c r="F43" s="134" t="str">
        <f>VLOOKUP($B43,Данные!$A$1:$U$1009,6,FALSE)</f>
        <v>Д (косинусная)</v>
      </c>
      <c r="G43" s="134" t="str">
        <f>VLOOKUP($B43,Данные!$A$1:$U$1009,8,FALSE)</f>
        <v>Samsung LM281</v>
      </c>
      <c r="H43" s="134" t="str">
        <f>VLOOKUP($B43,Данные!$A$1:$U$1009,12,FALSE)</f>
        <v>Экструдированный алюминиевый профиль (анодированный), прозрачное минеральное стекло**</v>
      </c>
      <c r="I43" s="134" t="str">
        <f>VLOOKUP($B43,Данные!$A$1:$U$1009,4,FALSE)</f>
        <v>176-264В AС</v>
      </c>
      <c r="J43" s="134">
        <f>VLOOKUP($B43,Данные!$A$1:$U$1009,5,FALSE)</f>
        <v>0.95</v>
      </c>
      <c r="K43" s="134" t="str">
        <f>VLOOKUP($B43,Данные!$A$1:$U$1009,13,FALSE)</f>
        <v xml:space="preserve"> -60°...+50° С</v>
      </c>
      <c r="L43" s="134" t="str">
        <f>VLOOKUP($B43,Данные!$A$1:$U$1009,14,FALSE)</f>
        <v>100 000 ч.</v>
      </c>
      <c r="M43" s="134" t="str">
        <f>VLOOKUP($B43,Данные!$A$1:$U$1009,10,FALSE)</f>
        <v>464х320х147</v>
      </c>
      <c r="N43" s="134">
        <f>VLOOKUP($B43,Данные!$A$1:$U$1009,11,FALSE)</f>
        <v>0</v>
      </c>
      <c r="O43" s="92" t="str">
        <f>VLOOKUP($B43,Данные!$A$1:$U$1009,9,FALSE)</f>
        <v>-</v>
      </c>
      <c r="P43" s="34">
        <f>VLOOKUP($B43,Данные!$A$1:$U$1009,2,FALSE)</f>
        <v>240</v>
      </c>
      <c r="Q43" s="132">
        <f>VLOOKUP($B43,Данные!$A$1:$U$1009,3,FALSE)</f>
        <v>33600</v>
      </c>
      <c r="R43" s="101">
        <f t="shared" si="20"/>
        <v>140</v>
      </c>
      <c r="S43" s="89" t="str">
        <f>VLOOKUP($B43,Данные!$A$1:$U$1009,15,FALSE)</f>
        <v>5000К 4000К* 3000К*</v>
      </c>
      <c r="T43" s="89">
        <f>VLOOKUP($B43,Данные!$A$1:$U$1009,7,FALSE)</f>
        <v>67</v>
      </c>
      <c r="U43" s="104" t="str">
        <f>VLOOKUP($B43,Данные!$A$1:$U$1009,16,FALSE)</f>
        <v>5 лет</v>
      </c>
      <c r="V43" s="407">
        <v>13505</v>
      </c>
    </row>
    <row r="44" spans="1:22" s="5" customFormat="1" ht="69.900000000000006" customHeight="1">
      <c r="A44" s="366"/>
      <c r="B44" s="18" t="s">
        <v>133</v>
      </c>
      <c r="C44" s="186">
        <f>VLOOKUP(B44,Данные!A:Z,26,FALSE)</f>
        <v>1056</v>
      </c>
      <c r="D44" s="337"/>
      <c r="E44" s="338" t="str">
        <f t="shared" si="19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524x320x147
Вес, кг: 0</v>
      </c>
      <c r="F44" s="72" t="str">
        <f>VLOOKUP($B44,Данные!$A$1:$U$1009,6,FALSE)</f>
        <v>Д (косинусная)</v>
      </c>
      <c r="G44" s="72" t="str">
        <f>VLOOKUP($B44,Данные!$A$1:$U$1009,8,FALSE)</f>
        <v>Samsung LM281</v>
      </c>
      <c r="H44" s="72" t="str">
        <f>VLOOKUP($B44,Данные!$A$1:$U$1009,12,FALSE)</f>
        <v>Экструдированный алюминиевый профиль (анодированный), прозрачное минеральное стекло**</v>
      </c>
      <c r="I44" s="72" t="str">
        <f>VLOOKUP($B44,Данные!$A$1:$U$1009,4,FALSE)</f>
        <v>176-264В AС</v>
      </c>
      <c r="J44" s="72">
        <f>VLOOKUP($B44,Данные!$A$1:$U$1009,5,FALSE)</f>
        <v>0.95</v>
      </c>
      <c r="K44" s="72" t="str">
        <f>VLOOKUP($B44,Данные!$A$1:$U$1009,13,FALSE)</f>
        <v xml:space="preserve"> -60°...+50° С</v>
      </c>
      <c r="L44" s="72" t="str">
        <f>VLOOKUP($B44,Данные!$A$1:$U$1009,14,FALSE)</f>
        <v>100 000 ч</v>
      </c>
      <c r="M44" s="72" t="str">
        <f>VLOOKUP($B44,Данные!$A$1:$U$1009,10,FALSE)</f>
        <v>524x320x147</v>
      </c>
      <c r="N44" s="72">
        <f>VLOOKUP($B44,Данные!$A$1:$U$1009,11,FALSE)</f>
        <v>0</v>
      </c>
      <c r="O44" s="92" t="str">
        <f>VLOOKUP($B44,Данные!$A$1:$U$1009,9,FALSE)</f>
        <v>-</v>
      </c>
      <c r="P44" s="34">
        <f>VLOOKUP($B44,Данные!$A$1:$U$1009,2,FALSE)</f>
        <v>288</v>
      </c>
      <c r="Q44" s="44">
        <f>VLOOKUP($B44,Данные!$A$1:$U$1009,3,FALSE)</f>
        <v>40320</v>
      </c>
      <c r="R44" s="101">
        <f t="shared" si="4"/>
        <v>140</v>
      </c>
      <c r="S44" s="89" t="str">
        <f>VLOOKUP($B44,Данные!$A$1:$U$1009,15,FALSE)</f>
        <v>5000К 4000К* 3000К*</v>
      </c>
      <c r="T44" s="89">
        <f>VLOOKUP($B44,Данные!$A$1:$U$1009,7,FALSE)</f>
        <v>67</v>
      </c>
      <c r="U44" s="104" t="str">
        <f>VLOOKUP($B44,Данные!$A$1:$U$1009,16,FALSE)</f>
        <v>5 лет</v>
      </c>
      <c r="V44" s="407">
        <v>14205</v>
      </c>
    </row>
    <row r="45" spans="1:22" s="5" customFormat="1" ht="69.900000000000006" customHeight="1" thickBot="1">
      <c r="A45" s="366"/>
      <c r="B45" s="15" t="s">
        <v>338</v>
      </c>
      <c r="C45" s="187">
        <f>VLOOKUP(B45,Данные!A:Z,26,FALSE)</f>
        <v>1041</v>
      </c>
      <c r="D45" s="343"/>
      <c r="E45" s="345" t="str">
        <f t="shared" si="19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624х320х147
Вес, кг: 0</v>
      </c>
      <c r="F45" s="73" t="str">
        <f>VLOOKUP($B45,Данные!$A$1:$U$1009,6,FALSE)</f>
        <v>Д (косинусная)</v>
      </c>
      <c r="G45" s="73" t="str">
        <f>VLOOKUP($B45,Данные!$A$1:$U$1009,8,FALSE)</f>
        <v>Samsung LM281</v>
      </c>
      <c r="H45" s="73" t="str">
        <f>VLOOKUP($B45,Данные!$A$1:$U$1009,12,FALSE)</f>
        <v>Экструдированный алюминиевый профиль (анодированный), прозрачное минеральное стекло**</v>
      </c>
      <c r="I45" s="73" t="str">
        <f>VLOOKUP($B45,Данные!$A$1:$U$1009,4,FALSE)</f>
        <v>176-264В AС</v>
      </c>
      <c r="J45" s="73">
        <f>VLOOKUP($B45,Данные!$A$1:$U$1009,5,FALSE)</f>
        <v>0.95</v>
      </c>
      <c r="K45" s="73" t="str">
        <f>VLOOKUP($B45,Данные!$A$1:$U$1009,13,FALSE)</f>
        <v xml:space="preserve"> -60°...+50° С</v>
      </c>
      <c r="L45" s="73" t="str">
        <f>VLOOKUP($B45,Данные!$A$1:$U$1009,14,FALSE)</f>
        <v>100 000 ч.</v>
      </c>
      <c r="M45" s="73" t="str">
        <f>VLOOKUP($B45,Данные!$A$1:$U$1009,10,FALSE)</f>
        <v>624х320х147</v>
      </c>
      <c r="N45" s="73">
        <f>VLOOKUP($B45,Данные!$A$1:$U$1009,11,FALSE)</f>
        <v>0</v>
      </c>
      <c r="O45" s="93" t="str">
        <f>VLOOKUP($B45,Данные!$A$1:$U$1009,9,FALSE)</f>
        <v>-</v>
      </c>
      <c r="P45" s="74">
        <f>VLOOKUP($B45,Данные!$A$1:$U$1009,2,FALSE)</f>
        <v>372</v>
      </c>
      <c r="Q45" s="43">
        <f>VLOOKUP($B45,Данные!$A$1:$U$1009,3,FALSE)</f>
        <v>52080</v>
      </c>
      <c r="R45" s="102">
        <f t="shared" si="4"/>
        <v>140</v>
      </c>
      <c r="S45" s="90" t="str">
        <f>VLOOKUP($B45,Данные!$A$1:$U$1009,15,FALSE)</f>
        <v>5000К 4000К* 3000К*</v>
      </c>
      <c r="T45" s="90">
        <f>VLOOKUP($B45,Данные!$A$1:$U$1009,7,FALSE)</f>
        <v>67</v>
      </c>
      <c r="U45" s="105" t="str">
        <f>VLOOKUP($B45,Данные!$A$1:$U$1009,16,FALSE)</f>
        <v>5 лет</v>
      </c>
      <c r="V45" s="408">
        <v>20005</v>
      </c>
    </row>
    <row r="46" spans="1:22" s="5" customFormat="1" ht="69.900000000000006" customHeight="1">
      <c r="A46" s="373"/>
      <c r="B46" s="17" t="s">
        <v>138</v>
      </c>
      <c r="C46" s="185">
        <f>VLOOKUP(B46,Данные!A:Z,26,FALSE)</f>
        <v>1061</v>
      </c>
      <c r="D46" s="342" t="s">
        <v>287</v>
      </c>
      <c r="E46" s="344" t="str">
        <f t="shared" ref="E46" si="21">CONCATENATE(CONCATENATE($F$3,": ",$F46,CHAR(10),$H$3,": ",$H46,CHAR(10),$I$3,": ",$I46,CHAR(10),$J$3,": ",$J46,CHAR(10),$K$3,": ",$K46,CHAR(10),$L$3,": ",$L46,CHAR(10)),"*Цветовая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Д (косинусная)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46" s="71" t="str">
        <f>VLOOKUP($B46,Данные!$A$1:$U$1009,6,FALSE)</f>
        <v>Д (косинусная)</v>
      </c>
      <c r="G46" s="71" t="str">
        <f>VLOOKUP($B46,Данные!$A$1:$U$1009,8,FALSE)</f>
        <v>Samsung LM281</v>
      </c>
      <c r="H46" s="71" t="str">
        <f>VLOOKUP($B46,Данные!$A$1:$U$1009,12,FALSE)</f>
        <v>Экструдированный алюминиевый профиль (анодированный), прозрачное минеральное стекло**</v>
      </c>
      <c r="I46" s="71" t="str">
        <f>VLOOKUP($B46,Данные!$A$1:$U$1009,4,FALSE)</f>
        <v>176-264В AС</v>
      </c>
      <c r="J46" s="71">
        <f>VLOOKUP($B46,Данные!$A$1:$U$1009,5,FALSE)</f>
        <v>0.95</v>
      </c>
      <c r="K46" s="71" t="str">
        <f>VLOOKUP($B46,Данные!$A$1:$U$1009,13,FALSE)</f>
        <v xml:space="preserve"> -60°...+50° С</v>
      </c>
      <c r="L46" s="71" t="str">
        <f>VLOOKUP($B46,Данные!$A$1:$U$1009,14,FALSE)</f>
        <v>100 000 ч</v>
      </c>
      <c r="M46" s="71" t="str">
        <f>VLOOKUP($B46,Данные!$A$1:$U$1009,10,FALSE)</f>
        <v>224x320x126</v>
      </c>
      <c r="N46" s="71">
        <f>VLOOKUP($B46,Данные!$A$1:$U$1009,11,FALSE)</f>
        <v>0</v>
      </c>
      <c r="O46" s="91" t="str">
        <f>VLOOKUP($B46,Данные!$A$1:$U$1009,9,FALSE)</f>
        <v>-</v>
      </c>
      <c r="P46" s="33">
        <f>VLOOKUP($B46,Данные!$A$1:$U$1009,2,FALSE)</f>
        <v>96</v>
      </c>
      <c r="Q46" s="42">
        <f>VLOOKUP($B46,Данные!$A$1:$U$1009,3,FALSE)</f>
        <v>13440</v>
      </c>
      <c r="R46" s="100">
        <f t="shared" si="4"/>
        <v>140</v>
      </c>
      <c r="S46" s="88" t="str">
        <f>VLOOKUP($B46,Данные!$A$1:$U$1009,15,FALSE)</f>
        <v>5000К 4000К* 3000К*</v>
      </c>
      <c r="T46" s="88">
        <f>VLOOKUP($B46,Данные!$A$1:$U$1009,7,FALSE)</f>
        <v>67</v>
      </c>
      <c r="U46" s="103" t="str">
        <f>VLOOKUP($B46,Данные!$A$1:$U$1009,16,FALSE)</f>
        <v>5 лет</v>
      </c>
      <c r="V46" s="406">
        <v>7250</v>
      </c>
    </row>
    <row r="47" spans="1:22" s="5" customFormat="1" ht="69.900000000000006" customHeight="1">
      <c r="A47" s="371"/>
      <c r="B47" s="18" t="s">
        <v>139</v>
      </c>
      <c r="C47" s="186">
        <f>VLOOKUP(B47,Данные!A:Z,26,FALSE)</f>
        <v>1062</v>
      </c>
      <c r="D47" s="337"/>
      <c r="E47" s="338" t="str">
        <f t="shared" ref="E47:E51" si="22">CONCATENATE(CONCATENATE($F$3,": ",$F47,CHAR(10),$G$3,": ",$G47,CHAR(10),$H$3,": ",$H47,CHAR(10),$I$3,": ",$I47,CHAR(10),$J$3,": ",$J47,CHAR(10),$K$3,": ",$K47,CHAR(10),$L$3,": ",$L47,CHAR(10)),CONCATENATE($M$3,": ",$M47,CHAR(10),$N$3,": ",$N47))</f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274x320x126
Вес, кг: 0</v>
      </c>
      <c r="F47" s="72" t="str">
        <f>VLOOKUP($B47,Данные!$A$1:$U$1009,6,FALSE)</f>
        <v>Д (косинусная)</v>
      </c>
      <c r="G47" s="72" t="str">
        <f>VLOOKUP($B47,Данные!$A$1:$U$1009,8,FALSE)</f>
        <v>Samsung LM281</v>
      </c>
      <c r="H47" s="72" t="str">
        <f>VLOOKUP($B47,Данные!$A$1:$U$1009,12,FALSE)</f>
        <v>Экструдированный алюминиевый профиль (анодированный), прозрачное минеральное стекло**</v>
      </c>
      <c r="I47" s="72" t="str">
        <f>VLOOKUP($B47,Данные!$A$1:$U$1009,4,FALSE)</f>
        <v>176-264В AС</v>
      </c>
      <c r="J47" s="72">
        <f>VLOOKUP($B47,Данные!$A$1:$U$1009,5,FALSE)</f>
        <v>0.95</v>
      </c>
      <c r="K47" s="72" t="str">
        <f>VLOOKUP($B47,Данные!$A$1:$U$1009,13,FALSE)</f>
        <v xml:space="preserve"> -60°...+50° С</v>
      </c>
      <c r="L47" s="72" t="str">
        <f>VLOOKUP($B47,Данные!$A$1:$U$1009,14,FALSE)</f>
        <v>100 000 ч</v>
      </c>
      <c r="M47" s="72" t="str">
        <f>VLOOKUP($B47,Данные!$A$1:$U$1009,10,FALSE)</f>
        <v>274x320x126</v>
      </c>
      <c r="N47" s="72">
        <f>VLOOKUP($B47,Данные!$A$1:$U$1009,11,FALSE)</f>
        <v>0</v>
      </c>
      <c r="O47" s="92" t="str">
        <f>VLOOKUP($B47,Данные!$A$1:$U$1009,9,FALSE)</f>
        <v>-</v>
      </c>
      <c r="P47" s="34">
        <f>VLOOKUP($B47,Данные!$A$1:$U$1009,2,FALSE)</f>
        <v>144</v>
      </c>
      <c r="Q47" s="44">
        <f>VLOOKUP($B47,Данные!$A$1:$U$1009,3,FALSE)</f>
        <v>20160</v>
      </c>
      <c r="R47" s="101">
        <f t="shared" si="4"/>
        <v>140</v>
      </c>
      <c r="S47" s="89" t="str">
        <f>VLOOKUP($B47,Данные!$A$1:$U$1009,15,FALSE)</f>
        <v>5000К 4000К* 3000К*</v>
      </c>
      <c r="T47" s="89">
        <f>VLOOKUP($B47,Данные!$A$1:$U$1009,7,FALSE)</f>
        <v>67</v>
      </c>
      <c r="U47" s="104" t="str">
        <f>VLOOKUP($B47,Данные!$A$1:$U$1009,16,FALSE)</f>
        <v>5 лет</v>
      </c>
      <c r="V47" s="407">
        <v>8500</v>
      </c>
    </row>
    <row r="48" spans="1:22" s="5" customFormat="1" ht="69.900000000000006" customHeight="1">
      <c r="A48" s="371"/>
      <c r="B48" s="18" t="s">
        <v>140</v>
      </c>
      <c r="C48" s="186">
        <f>VLOOKUP(B48,Данные!A:Z,26,FALSE)</f>
        <v>1063</v>
      </c>
      <c r="D48" s="337"/>
      <c r="E48" s="338"/>
      <c r="F48" s="134" t="str">
        <f>VLOOKUP($B48,Данные!$A$1:$U$1009,6,FALSE)</f>
        <v>Д (косинусная)</v>
      </c>
      <c r="G48" s="134" t="str">
        <f>VLOOKUP($B48,Данные!$A$1:$U$1009,8,FALSE)</f>
        <v>Samsung LM281</v>
      </c>
      <c r="H48" s="134" t="str">
        <f>VLOOKUP($B48,Данные!$A$1:$U$1009,12,FALSE)</f>
        <v>Экструдированный алюминиевый профиль (анодированный), прозрачное минеральное стекло**</v>
      </c>
      <c r="I48" s="134" t="str">
        <f>VLOOKUP($B48,Данные!$A$1:$U$1009,4,FALSE)</f>
        <v>176-264В AС</v>
      </c>
      <c r="J48" s="134">
        <f>VLOOKUP($B48,Данные!$A$1:$U$1009,5,FALSE)</f>
        <v>0.95</v>
      </c>
      <c r="K48" s="134" t="str">
        <f>VLOOKUP($B48,Данные!$A$1:$U$1009,13,FALSE)</f>
        <v xml:space="preserve"> -60°...+50° С</v>
      </c>
      <c r="L48" s="134" t="str">
        <f>VLOOKUP($B48,Данные!$A$1:$U$1009,14,FALSE)</f>
        <v>100 000 ч</v>
      </c>
      <c r="M48" s="134" t="str">
        <f>VLOOKUP($B48,Данные!$A$1:$U$1009,10,FALSE)</f>
        <v>324x320x126</v>
      </c>
      <c r="N48" s="134">
        <f>VLOOKUP($B48,Данные!$A$1:$U$1009,11,FALSE)</f>
        <v>0</v>
      </c>
      <c r="O48" s="92" t="str">
        <f>VLOOKUP($B48,Данные!$A$1:$U$1009,9,FALSE)</f>
        <v>-</v>
      </c>
      <c r="P48" s="34">
        <f>VLOOKUP($B48,Данные!$A$1:$U$1009,2,FALSE)</f>
        <v>186</v>
      </c>
      <c r="Q48" s="132">
        <f>VLOOKUP($B48,Данные!$A$1:$U$1009,3,FALSE)</f>
        <v>26040</v>
      </c>
      <c r="R48" s="101">
        <f t="shared" ref="R48:R49" si="23">Q48/P48</f>
        <v>140</v>
      </c>
      <c r="S48" s="89" t="str">
        <f>VLOOKUP($B48,Данные!$A$1:$U$1009,15,FALSE)</f>
        <v>5000К 4000К* 3000К*</v>
      </c>
      <c r="T48" s="89">
        <f>VLOOKUP($B48,Данные!$A$1:$U$1009,7,FALSE)</f>
        <v>67</v>
      </c>
      <c r="U48" s="104" t="str">
        <f>VLOOKUP($B48,Данные!$A$1:$U$1009,16,FALSE)</f>
        <v>5 лет</v>
      </c>
      <c r="V48" s="407">
        <v>9600</v>
      </c>
    </row>
    <row r="49" spans="1:22" s="5" customFormat="1" ht="69.900000000000006" customHeight="1">
      <c r="A49" s="371"/>
      <c r="B49" s="18" t="s">
        <v>322</v>
      </c>
      <c r="C49" s="186">
        <f>VLOOKUP(B49,Данные!A:Z,26,FALSE)</f>
        <v>1026</v>
      </c>
      <c r="D49" s="337"/>
      <c r="E49" s="338"/>
      <c r="F49" s="134" t="str">
        <f>VLOOKUP($B49,Данные!$A$1:$U$1009,6,FALSE)</f>
        <v>Д (косинусная)</v>
      </c>
      <c r="G49" s="134" t="str">
        <f>VLOOKUP($B49,Данные!$A$1:$U$1009,8,FALSE)</f>
        <v>Samsung LM281</v>
      </c>
      <c r="H49" s="134" t="str">
        <f>VLOOKUP($B49,Данные!$A$1:$U$1009,12,FALSE)</f>
        <v>Экструдированный алюминиевый профиль (анодированный), прозрачное минеральное стекло**</v>
      </c>
      <c r="I49" s="134" t="str">
        <f>VLOOKUP($B49,Данные!$A$1:$U$1009,4,FALSE)</f>
        <v>176-264В AС</v>
      </c>
      <c r="J49" s="134">
        <f>VLOOKUP($B49,Данные!$A$1:$U$1009,5,FALSE)</f>
        <v>0.95</v>
      </c>
      <c r="K49" s="134" t="str">
        <f>VLOOKUP($B49,Данные!$A$1:$U$1009,13,FALSE)</f>
        <v xml:space="preserve"> -60°...+50° С</v>
      </c>
      <c r="L49" s="134" t="str">
        <f>VLOOKUP($B49,Данные!$A$1:$U$1009,14,FALSE)</f>
        <v>100 000 ч.</v>
      </c>
      <c r="M49" s="134" t="str">
        <f>VLOOKUP($B49,Данные!$A$1:$U$1009,10,FALSE)</f>
        <v>464х320х126</v>
      </c>
      <c r="N49" s="134">
        <f>VLOOKUP($B49,Данные!$A$1:$U$1009,11,FALSE)</f>
        <v>0</v>
      </c>
      <c r="O49" s="92" t="str">
        <f>VLOOKUP($B49,Данные!$A$1:$U$1009,9,FALSE)</f>
        <v>-</v>
      </c>
      <c r="P49" s="34">
        <f>VLOOKUP($B49,Данные!$A$1:$U$1009,2,FALSE)</f>
        <v>240</v>
      </c>
      <c r="Q49" s="132">
        <f>VLOOKUP($B49,Данные!$A$1:$U$1009,3,FALSE)</f>
        <v>33600</v>
      </c>
      <c r="R49" s="101">
        <f t="shared" si="23"/>
        <v>140</v>
      </c>
      <c r="S49" s="89" t="str">
        <f>VLOOKUP($B49,Данные!$A$1:$U$1009,15,FALSE)</f>
        <v>5000К 4000К* 3000К*</v>
      </c>
      <c r="T49" s="89">
        <f>VLOOKUP($B49,Данные!$A$1:$U$1009,7,FALSE)</f>
        <v>67</v>
      </c>
      <c r="U49" s="104" t="str">
        <f>VLOOKUP($B49,Данные!$A$1:$U$1009,16,FALSE)</f>
        <v>5 лет</v>
      </c>
      <c r="V49" s="407">
        <v>13505</v>
      </c>
    </row>
    <row r="50" spans="1:22" s="5" customFormat="1" ht="69.900000000000006" customHeight="1">
      <c r="A50" s="371"/>
      <c r="B50" s="18" t="s">
        <v>141</v>
      </c>
      <c r="C50" s="186">
        <f>VLOOKUP(B50,Данные!A:Z,26,FALSE)</f>
        <v>1064</v>
      </c>
      <c r="D50" s="337"/>
      <c r="E50" s="338" t="str">
        <f t="shared" si="22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524x320x126
Вес, кг: 0</v>
      </c>
      <c r="F50" s="72" t="str">
        <f>VLOOKUP($B50,Данные!$A$1:$U$1009,6,FALSE)</f>
        <v>Д (косинусная)</v>
      </c>
      <c r="G50" s="72" t="str">
        <f>VLOOKUP($B50,Данные!$A$1:$U$1009,8,FALSE)</f>
        <v>Samsung LM281</v>
      </c>
      <c r="H50" s="72" t="str">
        <f>VLOOKUP($B50,Данные!$A$1:$U$1009,12,FALSE)</f>
        <v>Экструдированный алюминиевый профиль (анодированный), прозрачное минеральное стекло**</v>
      </c>
      <c r="I50" s="72" t="str">
        <f>VLOOKUP($B50,Данные!$A$1:$U$1009,4,FALSE)</f>
        <v>176-264В AС</v>
      </c>
      <c r="J50" s="72">
        <f>VLOOKUP($B50,Данные!$A$1:$U$1009,5,FALSE)</f>
        <v>0.95</v>
      </c>
      <c r="K50" s="72" t="str">
        <f>VLOOKUP($B50,Данные!$A$1:$U$1009,13,FALSE)</f>
        <v xml:space="preserve"> -60°...+50° С</v>
      </c>
      <c r="L50" s="72" t="str">
        <f>VLOOKUP($B50,Данные!$A$1:$U$1009,14,FALSE)</f>
        <v>100 000 ч</v>
      </c>
      <c r="M50" s="72" t="str">
        <f>VLOOKUP($B50,Данные!$A$1:$U$1009,10,FALSE)</f>
        <v>524x320x126</v>
      </c>
      <c r="N50" s="72">
        <f>VLOOKUP($B50,Данные!$A$1:$U$1009,11,FALSE)</f>
        <v>0</v>
      </c>
      <c r="O50" s="92" t="str">
        <f>VLOOKUP($B50,Данные!$A$1:$U$1009,9,FALSE)</f>
        <v>-</v>
      </c>
      <c r="P50" s="34">
        <f>VLOOKUP($B50,Данные!$A$1:$U$1009,2,FALSE)</f>
        <v>288</v>
      </c>
      <c r="Q50" s="44">
        <f>VLOOKUP($B50,Данные!$A$1:$U$1009,3,FALSE)</f>
        <v>40320</v>
      </c>
      <c r="R50" s="101">
        <f t="shared" si="4"/>
        <v>140</v>
      </c>
      <c r="S50" s="89" t="str">
        <f>VLOOKUP($B50,Данные!$A$1:$U$1009,15,FALSE)</f>
        <v>5000К 4000К* 3000К*</v>
      </c>
      <c r="T50" s="89">
        <f>VLOOKUP($B50,Данные!$A$1:$U$1009,7,FALSE)</f>
        <v>67</v>
      </c>
      <c r="U50" s="104" t="str">
        <f>VLOOKUP($B50,Данные!$A$1:$U$1009,16,FALSE)</f>
        <v>5 лет</v>
      </c>
      <c r="V50" s="407">
        <v>14205</v>
      </c>
    </row>
    <row r="51" spans="1:22" s="5" customFormat="1" ht="69.900000000000006" customHeight="1" thickBot="1">
      <c r="A51" s="372"/>
      <c r="B51" s="15" t="s">
        <v>337</v>
      </c>
      <c r="C51" s="187">
        <f>VLOOKUP(B51,Данные!A:Z,26,FALSE)</f>
        <v>1042</v>
      </c>
      <c r="D51" s="343"/>
      <c r="E51" s="345" t="str">
        <f t="shared" si="22"/>
        <v>КСС: Д (косинусная)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624х320х126
Вес, кг: 0</v>
      </c>
      <c r="F51" s="73" t="str">
        <f>VLOOKUP($B51,Данные!$A$1:$U$1009,6,FALSE)</f>
        <v>Д (косинусная)</v>
      </c>
      <c r="G51" s="73" t="str">
        <f>VLOOKUP($B51,Данные!$A$1:$U$1009,8,FALSE)</f>
        <v>Samsung LM281</v>
      </c>
      <c r="H51" s="73" t="str">
        <f>VLOOKUP($B51,Данные!$A$1:$U$1009,12,FALSE)</f>
        <v>Экструдированный алюминиевый профиль (анодированный), прозрачное минеральное стекло**</v>
      </c>
      <c r="I51" s="73" t="str">
        <f>VLOOKUP($B51,Данные!$A$1:$U$1009,4,FALSE)</f>
        <v>176-264В AС</v>
      </c>
      <c r="J51" s="73">
        <f>VLOOKUP($B51,Данные!$A$1:$U$1009,5,FALSE)</f>
        <v>0.95</v>
      </c>
      <c r="K51" s="73" t="str">
        <f>VLOOKUP($B51,Данные!$A$1:$U$1009,13,FALSE)</f>
        <v xml:space="preserve"> -60°...+50° С</v>
      </c>
      <c r="L51" s="73" t="str">
        <f>VLOOKUP($B51,Данные!$A$1:$U$1009,14,FALSE)</f>
        <v>100 000 ч.</v>
      </c>
      <c r="M51" s="73" t="str">
        <f>VLOOKUP($B51,Данные!$A$1:$U$1009,10,FALSE)</f>
        <v>624х320х126</v>
      </c>
      <c r="N51" s="73">
        <f>VLOOKUP($B51,Данные!$A$1:$U$1009,11,FALSE)</f>
        <v>0</v>
      </c>
      <c r="O51" s="93" t="str">
        <f>VLOOKUP($B51,Данные!$A$1:$U$1009,9,FALSE)</f>
        <v>-</v>
      </c>
      <c r="P51" s="74">
        <f>VLOOKUP($B51,Данные!$A$1:$U$1009,2,FALSE)</f>
        <v>372</v>
      </c>
      <c r="Q51" s="43">
        <f>VLOOKUP($B51,Данные!$A$1:$U$1009,3,FALSE)</f>
        <v>52080</v>
      </c>
      <c r="R51" s="102">
        <f t="shared" si="4"/>
        <v>140</v>
      </c>
      <c r="S51" s="90" t="str">
        <f>VLOOKUP($B51,Данные!$A$1:$U$1009,15,FALSE)</f>
        <v>5000К 4000К* 3000К*</v>
      </c>
      <c r="T51" s="90">
        <f>VLOOKUP($B51,Данные!$A$1:$U$1009,7,FALSE)</f>
        <v>67</v>
      </c>
      <c r="U51" s="105" t="str">
        <f>VLOOKUP($B51,Данные!$A$1:$U$1009,16,FALSE)</f>
        <v>5 лет</v>
      </c>
      <c r="V51" s="408">
        <v>20005</v>
      </c>
    </row>
    <row r="52" spans="1:22" s="5" customFormat="1" ht="69.900000000000006" customHeight="1">
      <c r="A52" s="366"/>
      <c r="B52" s="17" t="s">
        <v>134</v>
      </c>
      <c r="C52" s="185">
        <f>VLOOKUP(B52,Данные!A:Z,26,FALSE)</f>
        <v>1057</v>
      </c>
      <c r="D52" s="342" t="s">
        <v>287</v>
      </c>
      <c r="E52" s="344" t="str">
        <f t="shared" ref="E52" si="24">CONCATENATE(CONCATENATE($F$3,": ",$F52,CHAR(10),$H$3,": ",$H52,CHAR(10),$I$3,": ",$I52,CHAR(10),$J$3,": ",$J52,CHAR(10),$K$3,": ",$K52,CHAR(10),$L$3,": ",$L52,CHAR(10)),"*Цветовая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52" s="71" t="str">
        <f>VLOOKUP($B52,Данные!$A$1:$U$1009,6,FALSE)</f>
        <v>Л (полуширокая)</v>
      </c>
      <c r="G52" s="71" t="str">
        <f>VLOOKUP($B52,Данные!$A$1:$U$1009,8,FALSE)</f>
        <v>Samsung LM281</v>
      </c>
      <c r="H52" s="71" t="str">
        <f>VLOOKUP($B52,Данные!$A$1:$U$1009,12,FALSE)</f>
        <v>Экструдированный алюминиевый профиль (анодированный), прозрачное минеральное стекло**</v>
      </c>
      <c r="I52" s="71" t="str">
        <f>VLOOKUP($B52,Данные!$A$1:$U$1009,4,FALSE)</f>
        <v>176-264В AС</v>
      </c>
      <c r="J52" s="71">
        <f>VLOOKUP($B52,Данные!$A$1:$U$1009,5,FALSE)</f>
        <v>0.95</v>
      </c>
      <c r="K52" s="71" t="str">
        <f>VLOOKUP($B52,Данные!$A$1:$U$1009,13,FALSE)</f>
        <v xml:space="preserve"> -60°...+50° С</v>
      </c>
      <c r="L52" s="71" t="str">
        <f>VLOOKUP($B52,Данные!$A$1:$U$1009,14,FALSE)</f>
        <v>100 000 ч</v>
      </c>
      <c r="M52" s="71" t="str">
        <f>VLOOKUP($B52,Данные!$A$1:$U$1009,10,FALSE)</f>
        <v>224x326x147</v>
      </c>
      <c r="N52" s="71">
        <f>VLOOKUP($B52,Данные!$A$1:$U$1009,11,FALSE)</f>
        <v>0</v>
      </c>
      <c r="O52" s="91" t="str">
        <f>VLOOKUP($B52,Данные!$A$1:$U$1009,9,FALSE)</f>
        <v>-</v>
      </c>
      <c r="P52" s="33">
        <f>VLOOKUP($B52,Данные!$A$1:$U$1009,2,FALSE)</f>
        <v>96</v>
      </c>
      <c r="Q52" s="42">
        <f>VLOOKUP($B52,Данные!$A$1:$U$1009,3,FALSE)</f>
        <v>13440</v>
      </c>
      <c r="R52" s="100">
        <f t="shared" si="4"/>
        <v>140</v>
      </c>
      <c r="S52" s="88" t="str">
        <f>VLOOKUP($B52,Данные!$A$1:$U$1009,15,FALSE)</f>
        <v>5000К 4000К* 3000К*</v>
      </c>
      <c r="T52" s="88">
        <f>VLOOKUP($B52,Данные!$A$1:$U$1009,7,FALSE)</f>
        <v>67</v>
      </c>
      <c r="U52" s="103" t="str">
        <f>VLOOKUP($B52,Данные!$A$1:$U$1009,16,FALSE)</f>
        <v>5 лет</v>
      </c>
      <c r="V52" s="406">
        <v>7250</v>
      </c>
    </row>
    <row r="53" spans="1:22" s="5" customFormat="1" ht="69.900000000000006" customHeight="1">
      <c r="A53" s="366"/>
      <c r="B53" s="18" t="s">
        <v>135</v>
      </c>
      <c r="C53" s="186">
        <f>VLOOKUP(B53,Данные!A:Z,26,FALSE)</f>
        <v>1058</v>
      </c>
      <c r="D53" s="337"/>
      <c r="E53" s="338" t="str">
        <f t="shared" ref="E53:E57" si="25">CONCATENATE(CONCATENATE($F$3,": ",$F53,CHAR(10),$G$3,": ",$G53,CHAR(10),$H$3,": ",$H53,CHAR(10),$I$3,": ",$I53,CHAR(10),$J$3,": ",$J53,CHAR(10),$K$3,": ",$K53,CHAR(10),$L$3,": ",$L53,CHAR(10)),CONCATENATE($M$3,": ",$M53,CHAR(10),$N$3,": ",$N53))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274x326x147
Вес, кг: 0</v>
      </c>
      <c r="F53" s="72" t="str">
        <f>VLOOKUP($B53,Данные!$A$1:$U$1009,6,FALSE)</f>
        <v>Л (полуширокая)</v>
      </c>
      <c r="G53" s="72" t="str">
        <f>VLOOKUP($B53,Данные!$A$1:$U$1009,8,FALSE)</f>
        <v>Samsung LM281</v>
      </c>
      <c r="H53" s="72" t="str">
        <f>VLOOKUP($B53,Данные!$A$1:$U$1009,12,FALSE)</f>
        <v>Экструдированный алюминиевый профиль (анодированный), прозрачное минеральное стекло**</v>
      </c>
      <c r="I53" s="72" t="str">
        <f>VLOOKUP($B53,Данные!$A$1:$U$1009,4,FALSE)</f>
        <v>176-264В AС</v>
      </c>
      <c r="J53" s="72">
        <f>VLOOKUP($B53,Данные!$A$1:$U$1009,5,FALSE)</f>
        <v>0.95</v>
      </c>
      <c r="K53" s="72" t="str">
        <f>VLOOKUP($B53,Данные!$A$1:$U$1009,13,FALSE)</f>
        <v xml:space="preserve"> -60°...+50° С</v>
      </c>
      <c r="L53" s="72" t="str">
        <f>VLOOKUP($B53,Данные!$A$1:$U$1009,14,FALSE)</f>
        <v>100 000 ч</v>
      </c>
      <c r="M53" s="72" t="str">
        <f>VLOOKUP($B53,Данные!$A$1:$U$1009,10,FALSE)</f>
        <v>274x326x147</v>
      </c>
      <c r="N53" s="72">
        <f>VLOOKUP($B53,Данные!$A$1:$U$1009,11,FALSE)</f>
        <v>0</v>
      </c>
      <c r="O53" s="92" t="str">
        <f>VLOOKUP($B53,Данные!$A$1:$U$1009,9,FALSE)</f>
        <v>-</v>
      </c>
      <c r="P53" s="34">
        <f>VLOOKUP($B53,Данные!$A$1:$U$1009,2,FALSE)</f>
        <v>144</v>
      </c>
      <c r="Q53" s="44">
        <f>VLOOKUP($B53,Данные!$A$1:$U$1009,3,FALSE)</f>
        <v>20160</v>
      </c>
      <c r="R53" s="101">
        <f t="shared" si="4"/>
        <v>140</v>
      </c>
      <c r="S53" s="89" t="str">
        <f>VLOOKUP($B53,Данные!$A$1:$U$1009,15,FALSE)</f>
        <v>5000К 4000К* 3000К*</v>
      </c>
      <c r="T53" s="89">
        <f>VLOOKUP($B53,Данные!$A$1:$U$1009,7,FALSE)</f>
        <v>67</v>
      </c>
      <c r="U53" s="104" t="str">
        <f>VLOOKUP($B53,Данные!$A$1:$U$1009,16,FALSE)</f>
        <v>5 лет</v>
      </c>
      <c r="V53" s="407">
        <v>8500</v>
      </c>
    </row>
    <row r="54" spans="1:22" s="5" customFormat="1" ht="69.900000000000006" customHeight="1">
      <c r="A54" s="366"/>
      <c r="B54" s="18" t="s">
        <v>136</v>
      </c>
      <c r="C54" s="186">
        <f>VLOOKUP(B54,Данные!A:Z,26,FALSE)</f>
        <v>1059</v>
      </c>
      <c r="D54" s="337"/>
      <c r="E54" s="338"/>
      <c r="F54" s="134" t="str">
        <f>VLOOKUP($B54,Данные!$A$1:$U$1009,6,FALSE)</f>
        <v>Л (полуширокая)</v>
      </c>
      <c r="G54" s="134" t="str">
        <f>VLOOKUP($B54,Данные!$A$1:$U$1009,8,FALSE)</f>
        <v>Samsung LM281</v>
      </c>
      <c r="H54" s="134" t="str">
        <f>VLOOKUP($B54,Данные!$A$1:$U$1009,12,FALSE)</f>
        <v>Экструдированный алюминиевый профиль (анодированный), прозрачное минеральное стекло**</v>
      </c>
      <c r="I54" s="134" t="str">
        <f>VLOOKUP($B54,Данные!$A$1:$U$1009,4,FALSE)</f>
        <v>176-264В AС</v>
      </c>
      <c r="J54" s="134">
        <f>VLOOKUP($B54,Данные!$A$1:$U$1009,5,FALSE)</f>
        <v>0.95</v>
      </c>
      <c r="K54" s="134" t="str">
        <f>VLOOKUP($B54,Данные!$A$1:$U$1009,13,FALSE)</f>
        <v xml:space="preserve"> -60°...+50° С</v>
      </c>
      <c r="L54" s="134" t="str">
        <f>VLOOKUP($B54,Данные!$A$1:$U$1009,14,FALSE)</f>
        <v>100 000 ч</v>
      </c>
      <c r="M54" s="134" t="str">
        <f>VLOOKUP($B54,Данные!$A$1:$U$1009,10,FALSE)</f>
        <v>324x326x147</v>
      </c>
      <c r="N54" s="134">
        <f>VLOOKUP($B54,Данные!$A$1:$U$1009,11,FALSE)</f>
        <v>0</v>
      </c>
      <c r="O54" s="92" t="str">
        <f>VLOOKUP($B54,Данные!$A$1:$U$1009,9,FALSE)</f>
        <v>-</v>
      </c>
      <c r="P54" s="34">
        <f>VLOOKUP($B54,Данные!$A$1:$U$1009,2,FALSE)</f>
        <v>186</v>
      </c>
      <c r="Q54" s="133">
        <f>VLOOKUP($B54,Данные!$A$1:$U$1009,3,FALSE)</f>
        <v>26040</v>
      </c>
      <c r="R54" s="101">
        <f t="shared" ref="R54:R55" si="26">Q54/P54</f>
        <v>140</v>
      </c>
      <c r="S54" s="89" t="str">
        <f>VLOOKUP($B54,Данные!$A$1:$U$1009,15,FALSE)</f>
        <v>5000К 4000К* 3000К*</v>
      </c>
      <c r="T54" s="89">
        <f>VLOOKUP($B54,Данные!$A$1:$U$1009,7,FALSE)</f>
        <v>67</v>
      </c>
      <c r="U54" s="104" t="str">
        <f>VLOOKUP($B54,Данные!$A$1:$U$1009,16,FALSE)</f>
        <v>5 лет</v>
      </c>
      <c r="V54" s="407">
        <v>9600</v>
      </c>
    </row>
    <row r="55" spans="1:22" s="5" customFormat="1" ht="69.900000000000006" customHeight="1">
      <c r="A55" s="366"/>
      <c r="B55" s="18" t="s">
        <v>323</v>
      </c>
      <c r="C55" s="186">
        <f>VLOOKUP(B55,Данные!A:Z,26,FALSE)</f>
        <v>1027</v>
      </c>
      <c r="D55" s="337"/>
      <c r="E55" s="338"/>
      <c r="F55" s="134" t="str">
        <f>VLOOKUP($B55,Данные!$A$1:$U$1009,6,FALSE)</f>
        <v>Л (полуширокая)</v>
      </c>
      <c r="G55" s="134" t="str">
        <f>VLOOKUP($B55,Данные!$A$1:$U$1009,8,FALSE)</f>
        <v>Samsung LM281</v>
      </c>
      <c r="H55" s="134" t="str">
        <f>VLOOKUP($B55,Данные!$A$1:$U$1009,12,FALSE)</f>
        <v>Экструдированный алюминиевый профиль (анодированный), прозрачное минеральное стекло**</v>
      </c>
      <c r="I55" s="134" t="str">
        <f>VLOOKUP($B55,Данные!$A$1:$U$1009,4,FALSE)</f>
        <v>176-264В AС</v>
      </c>
      <c r="J55" s="134">
        <f>VLOOKUP($B55,Данные!$A$1:$U$1009,5,FALSE)</f>
        <v>0.95</v>
      </c>
      <c r="K55" s="134" t="str">
        <f>VLOOKUP($B55,Данные!$A$1:$U$1009,13,FALSE)</f>
        <v xml:space="preserve"> -60°...+50° С</v>
      </c>
      <c r="L55" s="134" t="str">
        <f>VLOOKUP($B55,Данные!$A$1:$U$1009,14,FALSE)</f>
        <v>100 000 ч.</v>
      </c>
      <c r="M55" s="134" t="str">
        <f>VLOOKUP($B55,Данные!$A$1:$U$1009,10,FALSE)</f>
        <v>464х326х147</v>
      </c>
      <c r="N55" s="134">
        <f>VLOOKUP($B55,Данные!$A$1:$U$1009,11,FALSE)</f>
        <v>0</v>
      </c>
      <c r="O55" s="92" t="str">
        <f>VLOOKUP($B55,Данные!$A$1:$U$1009,9,FALSE)</f>
        <v>-</v>
      </c>
      <c r="P55" s="34">
        <f>VLOOKUP($B55,Данные!$A$1:$U$1009,2,FALSE)</f>
        <v>240</v>
      </c>
      <c r="Q55" s="133">
        <f>VLOOKUP($B55,Данные!$A$1:$U$1009,3,FALSE)</f>
        <v>33600</v>
      </c>
      <c r="R55" s="101">
        <f t="shared" si="26"/>
        <v>140</v>
      </c>
      <c r="S55" s="89" t="str">
        <f>VLOOKUP($B55,Данные!$A$1:$U$1009,15,FALSE)</f>
        <v>5000К 4000К* 3000К*</v>
      </c>
      <c r="T55" s="89">
        <f>VLOOKUP($B55,Данные!$A$1:$U$1009,7,FALSE)</f>
        <v>67</v>
      </c>
      <c r="U55" s="104" t="str">
        <f>VLOOKUP($B55,Данные!$A$1:$U$1009,16,FALSE)</f>
        <v>5 лет</v>
      </c>
      <c r="V55" s="407">
        <v>13505</v>
      </c>
    </row>
    <row r="56" spans="1:22" s="5" customFormat="1" ht="69.900000000000006" customHeight="1">
      <c r="A56" s="366"/>
      <c r="B56" s="18" t="s">
        <v>137</v>
      </c>
      <c r="C56" s="186">
        <f>VLOOKUP(B56,Данные!A:Z,26,FALSE)</f>
        <v>1060</v>
      </c>
      <c r="D56" s="337"/>
      <c r="E56" s="338" t="str">
        <f t="shared" si="25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524x326x147
Вес, кг: 0</v>
      </c>
      <c r="F56" s="72" t="str">
        <f>VLOOKUP($B56,Данные!$A$1:$U$1009,6,FALSE)</f>
        <v>Л (полуширокая)</v>
      </c>
      <c r="G56" s="72" t="str">
        <f>VLOOKUP($B56,Данные!$A$1:$U$1009,8,FALSE)</f>
        <v>Samsung LM281</v>
      </c>
      <c r="H56" s="72" t="str">
        <f>VLOOKUP($B56,Данные!$A$1:$U$1009,12,FALSE)</f>
        <v>Экструдированный алюминиевый профиль (анодированный), прозрачное минеральное стекло**</v>
      </c>
      <c r="I56" s="72" t="str">
        <f>VLOOKUP($B56,Данные!$A$1:$U$1009,4,FALSE)</f>
        <v>176-264В AС</v>
      </c>
      <c r="J56" s="72">
        <f>VLOOKUP($B56,Данные!$A$1:$U$1009,5,FALSE)</f>
        <v>0.95</v>
      </c>
      <c r="K56" s="72" t="str">
        <f>VLOOKUP($B56,Данные!$A$1:$U$1009,13,FALSE)</f>
        <v xml:space="preserve"> -60°...+50° С</v>
      </c>
      <c r="L56" s="72" t="str">
        <f>VLOOKUP($B56,Данные!$A$1:$U$1009,14,FALSE)</f>
        <v>100 000 ч</v>
      </c>
      <c r="M56" s="72" t="str">
        <f>VLOOKUP($B56,Данные!$A$1:$U$1009,10,FALSE)</f>
        <v>524x326x147</v>
      </c>
      <c r="N56" s="72">
        <f>VLOOKUP($B56,Данные!$A$1:$U$1009,11,FALSE)</f>
        <v>0</v>
      </c>
      <c r="O56" s="92" t="str">
        <f>VLOOKUP($B56,Данные!$A$1:$U$1009,9,FALSE)</f>
        <v>-</v>
      </c>
      <c r="P56" s="34">
        <f>VLOOKUP($B56,Данные!$A$1:$U$1009,2,FALSE)</f>
        <v>288</v>
      </c>
      <c r="Q56" s="44">
        <f>VLOOKUP($B56,Данные!$A$1:$U$1009,3,FALSE)</f>
        <v>40320</v>
      </c>
      <c r="R56" s="101">
        <f t="shared" si="4"/>
        <v>140</v>
      </c>
      <c r="S56" s="89" t="str">
        <f>VLOOKUP($B56,Данные!$A$1:$U$1009,15,FALSE)</f>
        <v>5000К 4000К* 3000К*</v>
      </c>
      <c r="T56" s="89">
        <f>VLOOKUP($B56,Данные!$A$1:$U$1009,7,FALSE)</f>
        <v>67</v>
      </c>
      <c r="U56" s="104" t="str">
        <f>VLOOKUP($B56,Данные!$A$1:$U$1009,16,FALSE)</f>
        <v>5 лет</v>
      </c>
      <c r="V56" s="407">
        <v>14205</v>
      </c>
    </row>
    <row r="57" spans="1:22" s="5" customFormat="1" ht="69.900000000000006" customHeight="1" thickBot="1">
      <c r="A57" s="366"/>
      <c r="B57" s="15" t="s">
        <v>336</v>
      </c>
      <c r="C57" s="187">
        <f>VLOOKUP(B57,Данные!A:Z,26,FALSE)</f>
        <v>1043</v>
      </c>
      <c r="D57" s="343"/>
      <c r="E57" s="345" t="str">
        <f t="shared" si="25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624х326х147
Вес, кг: 0</v>
      </c>
      <c r="F57" s="73" t="str">
        <f>VLOOKUP($B57,Данные!$A$1:$U$1009,6,FALSE)</f>
        <v>Л (полуширокая)</v>
      </c>
      <c r="G57" s="73" t="str">
        <f>VLOOKUP($B57,Данные!$A$1:$U$1009,8,FALSE)</f>
        <v>Samsung LM281</v>
      </c>
      <c r="H57" s="73" t="str">
        <f>VLOOKUP($B57,Данные!$A$1:$U$1009,12,FALSE)</f>
        <v>Экструдированный алюминиевый профиль (анодированный), прозрачное минеральное стекло**</v>
      </c>
      <c r="I57" s="73" t="str">
        <f>VLOOKUP($B57,Данные!$A$1:$U$1009,4,FALSE)</f>
        <v>176-264В AС</v>
      </c>
      <c r="J57" s="73">
        <f>VLOOKUP($B57,Данные!$A$1:$U$1009,5,FALSE)</f>
        <v>0.95</v>
      </c>
      <c r="K57" s="73" t="str">
        <f>VLOOKUP($B57,Данные!$A$1:$U$1009,13,FALSE)</f>
        <v xml:space="preserve"> -60°...+50° С</v>
      </c>
      <c r="L57" s="73" t="str">
        <f>VLOOKUP($B57,Данные!$A$1:$U$1009,14,FALSE)</f>
        <v>100 000 ч.</v>
      </c>
      <c r="M57" s="73" t="str">
        <f>VLOOKUP($B57,Данные!$A$1:$U$1009,10,FALSE)</f>
        <v>624х326х147</v>
      </c>
      <c r="N57" s="73">
        <f>VLOOKUP($B57,Данные!$A$1:$U$1009,11,FALSE)</f>
        <v>0</v>
      </c>
      <c r="O57" s="93" t="str">
        <f>VLOOKUP($B57,Данные!$A$1:$U$1009,9,FALSE)</f>
        <v>-</v>
      </c>
      <c r="P57" s="74">
        <f>VLOOKUP($B57,Данные!$A$1:$U$1009,2,FALSE)</f>
        <v>372</v>
      </c>
      <c r="Q57" s="43">
        <f>VLOOKUP($B57,Данные!$A$1:$U$1009,3,FALSE)</f>
        <v>52080</v>
      </c>
      <c r="R57" s="102">
        <f t="shared" si="4"/>
        <v>140</v>
      </c>
      <c r="S57" s="90" t="str">
        <f>VLOOKUP($B57,Данные!$A$1:$U$1009,15,FALSE)</f>
        <v>5000К 4000К* 3000К*</v>
      </c>
      <c r="T57" s="90">
        <f>VLOOKUP($B57,Данные!$A$1:$U$1009,7,FALSE)</f>
        <v>67</v>
      </c>
      <c r="U57" s="105" t="str">
        <f>VLOOKUP($B57,Данные!$A$1:$U$1009,16,FALSE)</f>
        <v>5 лет</v>
      </c>
      <c r="V57" s="408">
        <v>20005</v>
      </c>
    </row>
    <row r="58" spans="1:22" s="5" customFormat="1" ht="69.900000000000006" customHeight="1">
      <c r="A58" s="373"/>
      <c r="B58" s="17" t="s">
        <v>142</v>
      </c>
      <c r="C58" s="185">
        <f>VLOOKUP(B58,Данные!A:Z,26,FALSE)</f>
        <v>1065</v>
      </c>
      <c r="D58" s="342" t="s">
        <v>287</v>
      </c>
      <c r="E58" s="344" t="str">
        <f t="shared" ref="E58" si="27">CONCATENATE(CONCATENATE($F$3,": ",$F58,CHAR(10),$H$3,": ",$H58,CHAR(10),$I$3,": ",$I58,CHAR(10),$J$3,": ",$J58,CHAR(10),$K$3,": ",$K58,CHAR(10),$L$3,": ",$L58,CHAR(10)),"*Цветовая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58" s="71" t="str">
        <f>VLOOKUP($B58,Данные!$A$1:$U$1009,6,FALSE)</f>
        <v>Л (полуширокая)</v>
      </c>
      <c r="G58" s="71" t="str">
        <f>VLOOKUP($B58,Данные!$A$1:$U$1009,8,FALSE)</f>
        <v>Samsung LM281</v>
      </c>
      <c r="H58" s="71" t="str">
        <f>VLOOKUP($B58,Данные!$A$1:$U$1009,12,FALSE)</f>
        <v>Экструдированный алюминиевый профиль (анодированный), прозрачное минеральное стекло**</v>
      </c>
      <c r="I58" s="71" t="str">
        <f>VLOOKUP($B58,Данные!$A$1:$U$1009,4,FALSE)</f>
        <v>176-264В AС</v>
      </c>
      <c r="J58" s="71">
        <f>VLOOKUP($B58,Данные!$A$1:$U$1009,5,FALSE)</f>
        <v>0.95</v>
      </c>
      <c r="K58" s="71" t="str">
        <f>VLOOKUP($B58,Данные!$A$1:$U$1009,13,FALSE)</f>
        <v xml:space="preserve"> -60°...+50° С</v>
      </c>
      <c r="L58" s="71" t="str">
        <f>VLOOKUP($B58,Данные!$A$1:$U$1009,14,FALSE)</f>
        <v>100 000 ч</v>
      </c>
      <c r="M58" s="71" t="str">
        <f>VLOOKUP($B58,Данные!$A$1:$U$1009,10,FALSE)</f>
        <v>224x326x126</v>
      </c>
      <c r="N58" s="71">
        <f>VLOOKUP($B58,Данные!$A$1:$U$1009,11,FALSE)</f>
        <v>0</v>
      </c>
      <c r="O58" s="91" t="str">
        <f>VLOOKUP($B58,Данные!$A$1:$U$1009,9,FALSE)</f>
        <v>-</v>
      </c>
      <c r="P58" s="33">
        <f>VLOOKUP($B58,Данные!$A$1:$U$1009,2,FALSE)</f>
        <v>96</v>
      </c>
      <c r="Q58" s="42">
        <f>VLOOKUP($B58,Данные!$A$1:$U$1009,3,FALSE)</f>
        <v>13440</v>
      </c>
      <c r="R58" s="100">
        <f t="shared" si="4"/>
        <v>140</v>
      </c>
      <c r="S58" s="88" t="str">
        <f>VLOOKUP($B58,Данные!$A$1:$U$1009,15,FALSE)</f>
        <v>5000К 4000К* 3000К*</v>
      </c>
      <c r="T58" s="88">
        <f>VLOOKUP($B58,Данные!$A$1:$U$1009,7,FALSE)</f>
        <v>67</v>
      </c>
      <c r="U58" s="103" t="str">
        <f>VLOOKUP($B58,Данные!$A$1:$U$1009,16,FALSE)</f>
        <v>5 лет</v>
      </c>
      <c r="V58" s="406">
        <v>7250</v>
      </c>
    </row>
    <row r="59" spans="1:22" s="5" customFormat="1" ht="69.900000000000006" customHeight="1">
      <c r="A59" s="371"/>
      <c r="B59" s="18" t="s">
        <v>143</v>
      </c>
      <c r="C59" s="186">
        <f>VLOOKUP(B59,Данные!A:Z,26,FALSE)</f>
        <v>1066</v>
      </c>
      <c r="D59" s="337"/>
      <c r="E59" s="338" t="str">
        <f t="shared" ref="E59:E63" si="28">CONCATENATE(CONCATENATE($F$3,": ",$F59,CHAR(10),$G$3,": ",$G59,CHAR(10),$H$3,": ",$H59,CHAR(10),$I$3,": ",$I59,CHAR(10),$J$3,": ",$J59,CHAR(10),$K$3,": ",$K59,CHAR(10),$L$3,": ",$L59,CHAR(10)),CONCATENATE($M$3,": ",$M59,CHAR(10),$N$3,": ",$N59))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274x326x126
Вес, кг: 0</v>
      </c>
      <c r="F59" s="72" t="str">
        <f>VLOOKUP($B59,Данные!$A$1:$U$1009,6,FALSE)</f>
        <v>Л (полуширокая)</v>
      </c>
      <c r="G59" s="72" t="str">
        <f>VLOOKUP($B59,Данные!$A$1:$U$1009,8,FALSE)</f>
        <v>Samsung LM281</v>
      </c>
      <c r="H59" s="72" t="str">
        <f>VLOOKUP($B59,Данные!$A$1:$U$1009,12,FALSE)</f>
        <v>Экструдированный алюминиевый профиль (анодированный), прозрачное минеральное стекло**</v>
      </c>
      <c r="I59" s="72" t="str">
        <f>VLOOKUP($B59,Данные!$A$1:$U$1009,4,FALSE)</f>
        <v>176-264В AС</v>
      </c>
      <c r="J59" s="72">
        <f>VLOOKUP($B59,Данные!$A$1:$U$1009,5,FALSE)</f>
        <v>0.95</v>
      </c>
      <c r="K59" s="72" t="str">
        <f>VLOOKUP($B59,Данные!$A$1:$U$1009,13,FALSE)</f>
        <v xml:space="preserve"> -60°...+50° С</v>
      </c>
      <c r="L59" s="72" t="str">
        <f>VLOOKUP($B59,Данные!$A$1:$U$1009,14,FALSE)</f>
        <v>100 000 ч</v>
      </c>
      <c r="M59" s="72" t="str">
        <f>VLOOKUP($B59,Данные!$A$1:$U$1009,10,FALSE)</f>
        <v>274x326x126</v>
      </c>
      <c r="N59" s="72">
        <f>VLOOKUP($B59,Данные!$A$1:$U$1009,11,FALSE)</f>
        <v>0</v>
      </c>
      <c r="O59" s="92" t="str">
        <f>VLOOKUP($B59,Данные!$A$1:$U$1009,9,FALSE)</f>
        <v>-</v>
      </c>
      <c r="P59" s="34">
        <f>VLOOKUP($B59,Данные!$A$1:$U$1009,2,FALSE)</f>
        <v>144</v>
      </c>
      <c r="Q59" s="44">
        <f>VLOOKUP($B59,Данные!$A$1:$U$1009,3,FALSE)</f>
        <v>20160</v>
      </c>
      <c r="R59" s="101">
        <f t="shared" si="4"/>
        <v>140</v>
      </c>
      <c r="S59" s="89" t="str">
        <f>VLOOKUP($B59,Данные!$A$1:$U$1009,15,FALSE)</f>
        <v>5000К 4000К* 3000К*</v>
      </c>
      <c r="T59" s="89">
        <f>VLOOKUP($B59,Данные!$A$1:$U$1009,7,FALSE)</f>
        <v>67</v>
      </c>
      <c r="U59" s="104" t="str">
        <f>VLOOKUP($B59,Данные!$A$1:$U$1009,16,FALSE)</f>
        <v>5 лет</v>
      </c>
      <c r="V59" s="407">
        <v>8500</v>
      </c>
    </row>
    <row r="60" spans="1:22" s="5" customFormat="1" ht="69.900000000000006" customHeight="1">
      <c r="A60" s="371"/>
      <c r="B60" s="18" t="s">
        <v>144</v>
      </c>
      <c r="C60" s="186">
        <f>VLOOKUP(B60,Данные!A:Z,26,FALSE)</f>
        <v>1067</v>
      </c>
      <c r="D60" s="337"/>
      <c r="E60" s="338"/>
      <c r="F60" s="134" t="str">
        <f>VLOOKUP($B60,Данные!$A$1:$U$1009,6,FALSE)</f>
        <v>Л (полуширокая)</v>
      </c>
      <c r="G60" s="134" t="str">
        <f>VLOOKUP($B60,Данные!$A$1:$U$1009,8,FALSE)</f>
        <v>Samsung LM281</v>
      </c>
      <c r="H60" s="134" t="str">
        <f>VLOOKUP($B60,Данные!$A$1:$U$1009,12,FALSE)</f>
        <v>Экструдированный алюминиевый профиль (анодированный), прозрачное минеральное стекло**</v>
      </c>
      <c r="I60" s="134" t="str">
        <f>VLOOKUP($B60,Данные!$A$1:$U$1009,4,FALSE)</f>
        <v>176-264В AС</v>
      </c>
      <c r="J60" s="134">
        <f>VLOOKUP($B60,Данные!$A$1:$U$1009,5,FALSE)</f>
        <v>0.95</v>
      </c>
      <c r="K60" s="134" t="str">
        <f>VLOOKUP($B60,Данные!$A$1:$U$1009,13,FALSE)</f>
        <v xml:space="preserve"> -60°...+50° С</v>
      </c>
      <c r="L60" s="134" t="str">
        <f>VLOOKUP($B60,Данные!$A$1:$U$1009,14,FALSE)</f>
        <v>100 000 ч</v>
      </c>
      <c r="M60" s="134" t="str">
        <f>VLOOKUP($B60,Данные!$A$1:$U$1009,10,FALSE)</f>
        <v>324x326x126</v>
      </c>
      <c r="N60" s="134">
        <f>VLOOKUP($B60,Данные!$A$1:$U$1009,11,FALSE)</f>
        <v>0</v>
      </c>
      <c r="O60" s="92" t="str">
        <f>VLOOKUP($B60,Данные!$A$1:$U$1009,9,FALSE)</f>
        <v>-</v>
      </c>
      <c r="P60" s="34">
        <f>VLOOKUP($B60,Данные!$A$1:$U$1009,2,FALSE)</f>
        <v>186</v>
      </c>
      <c r="Q60" s="132">
        <f>VLOOKUP($B60,Данные!$A$1:$U$1009,3,FALSE)</f>
        <v>26040</v>
      </c>
      <c r="R60" s="101">
        <f t="shared" ref="R60:R61" si="29">Q60/P60</f>
        <v>140</v>
      </c>
      <c r="S60" s="89" t="str">
        <f>VLOOKUP($B60,Данные!$A$1:$U$1009,15,FALSE)</f>
        <v>5000К 4000К* 3000К*</v>
      </c>
      <c r="T60" s="89">
        <f>VLOOKUP($B60,Данные!$A$1:$U$1009,7,FALSE)</f>
        <v>67</v>
      </c>
      <c r="U60" s="104" t="str">
        <f>VLOOKUP($B60,Данные!$A$1:$U$1009,16,FALSE)</f>
        <v>5 лет</v>
      </c>
      <c r="V60" s="407">
        <v>9600</v>
      </c>
    </row>
    <row r="61" spans="1:22" s="5" customFormat="1" ht="69.900000000000006" customHeight="1">
      <c r="A61" s="371"/>
      <c r="B61" s="18" t="s">
        <v>324</v>
      </c>
      <c r="C61" s="186">
        <f>VLOOKUP(B61,Данные!A:Z,26,FALSE)</f>
        <v>1028</v>
      </c>
      <c r="D61" s="337"/>
      <c r="E61" s="338"/>
      <c r="F61" s="134" t="str">
        <f>VLOOKUP($B61,Данные!$A$1:$U$1009,6,FALSE)</f>
        <v>Л (полуширокая)</v>
      </c>
      <c r="G61" s="134" t="str">
        <f>VLOOKUP($B61,Данные!$A$1:$U$1009,8,FALSE)</f>
        <v>Samsung LM281</v>
      </c>
      <c r="H61" s="134" t="str">
        <f>VLOOKUP($B61,Данные!$A$1:$U$1009,12,FALSE)</f>
        <v>Экструдированный алюминиевый профиль (анодированный), прозрачное минеральное стекло**</v>
      </c>
      <c r="I61" s="134" t="str">
        <f>VLOOKUP($B61,Данные!$A$1:$U$1009,4,FALSE)</f>
        <v>176-264В AС</v>
      </c>
      <c r="J61" s="134">
        <f>VLOOKUP($B61,Данные!$A$1:$U$1009,5,FALSE)</f>
        <v>0.95</v>
      </c>
      <c r="K61" s="134" t="str">
        <f>VLOOKUP($B61,Данные!$A$1:$U$1009,13,FALSE)</f>
        <v xml:space="preserve"> -60°...+50° С</v>
      </c>
      <c r="L61" s="134" t="str">
        <f>VLOOKUP($B61,Данные!$A$1:$U$1009,14,FALSE)</f>
        <v>100 000 ч.</v>
      </c>
      <c r="M61" s="134" t="str">
        <f>VLOOKUP($B61,Данные!$A$1:$U$1009,10,FALSE)</f>
        <v>464х326х133</v>
      </c>
      <c r="N61" s="134">
        <f>VLOOKUP($B61,Данные!$A$1:$U$1009,11,FALSE)</f>
        <v>0</v>
      </c>
      <c r="O61" s="92" t="str">
        <f>VLOOKUP($B61,Данные!$A$1:$U$1009,9,FALSE)</f>
        <v>-</v>
      </c>
      <c r="P61" s="34">
        <f>VLOOKUP($B61,Данные!$A$1:$U$1009,2,FALSE)</f>
        <v>240</v>
      </c>
      <c r="Q61" s="132">
        <f>VLOOKUP($B61,Данные!$A$1:$U$1009,3,FALSE)</f>
        <v>33600</v>
      </c>
      <c r="R61" s="101">
        <f t="shared" si="29"/>
        <v>140</v>
      </c>
      <c r="S61" s="89" t="str">
        <f>VLOOKUP($B61,Данные!$A$1:$U$1009,15,FALSE)</f>
        <v>5000К 4000К* 3000К*</v>
      </c>
      <c r="T61" s="89">
        <f>VLOOKUP($B61,Данные!$A$1:$U$1009,7,FALSE)</f>
        <v>67</v>
      </c>
      <c r="U61" s="104" t="str">
        <f>VLOOKUP($B61,Данные!$A$1:$U$1009,16,FALSE)</f>
        <v>5 лет</v>
      </c>
      <c r="V61" s="407">
        <v>13505</v>
      </c>
    </row>
    <row r="62" spans="1:22" s="5" customFormat="1" ht="69.900000000000006" customHeight="1">
      <c r="A62" s="371"/>
      <c r="B62" s="18" t="s">
        <v>145</v>
      </c>
      <c r="C62" s="186">
        <f>VLOOKUP(B62,Данные!A:Z,26,FALSE)</f>
        <v>1068</v>
      </c>
      <c r="D62" s="337"/>
      <c r="E62" s="338" t="str">
        <f t="shared" si="28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524x326x133
Вес, кг: 0</v>
      </c>
      <c r="F62" s="72" t="str">
        <f>VLOOKUP($B62,Данные!$A$1:$U$1009,6,FALSE)</f>
        <v>Л (полуширокая)</v>
      </c>
      <c r="G62" s="72" t="str">
        <f>VLOOKUP($B62,Данные!$A$1:$U$1009,8,FALSE)</f>
        <v>Samsung LM281</v>
      </c>
      <c r="H62" s="72" t="str">
        <f>VLOOKUP($B62,Данные!$A$1:$U$1009,12,FALSE)</f>
        <v>Экструдированный алюминиевый профиль (анодированный), прозрачное минеральное стекло**</v>
      </c>
      <c r="I62" s="72" t="str">
        <f>VLOOKUP($B62,Данные!$A$1:$U$1009,4,FALSE)</f>
        <v>176-264В AС</v>
      </c>
      <c r="J62" s="72">
        <f>VLOOKUP($B62,Данные!$A$1:$U$1009,5,FALSE)</f>
        <v>0.95</v>
      </c>
      <c r="K62" s="72" t="str">
        <f>VLOOKUP($B62,Данные!$A$1:$U$1009,13,FALSE)</f>
        <v xml:space="preserve"> -60°...+50° С</v>
      </c>
      <c r="L62" s="72" t="str">
        <f>VLOOKUP($B62,Данные!$A$1:$U$1009,14,FALSE)</f>
        <v>100 000 ч</v>
      </c>
      <c r="M62" s="72" t="str">
        <f>VLOOKUP($B62,Данные!$A$1:$U$1009,10,FALSE)</f>
        <v>524x326x133</v>
      </c>
      <c r="N62" s="72">
        <f>VLOOKUP($B62,Данные!$A$1:$U$1009,11,FALSE)</f>
        <v>0</v>
      </c>
      <c r="O62" s="92" t="str">
        <f>VLOOKUP($B62,Данные!$A$1:$U$1009,9,FALSE)</f>
        <v>-</v>
      </c>
      <c r="P62" s="34">
        <f>VLOOKUP($B62,Данные!$A$1:$U$1009,2,FALSE)</f>
        <v>288</v>
      </c>
      <c r="Q62" s="44">
        <f>VLOOKUP($B62,Данные!$A$1:$U$1009,3,FALSE)</f>
        <v>40320</v>
      </c>
      <c r="R62" s="101">
        <f t="shared" si="4"/>
        <v>140</v>
      </c>
      <c r="S62" s="89" t="str">
        <f>VLOOKUP($B62,Данные!$A$1:$U$1009,15,FALSE)</f>
        <v>5000К 4000К* 3000К*</v>
      </c>
      <c r="T62" s="89">
        <f>VLOOKUP($B62,Данные!$A$1:$U$1009,7,FALSE)</f>
        <v>67</v>
      </c>
      <c r="U62" s="104" t="str">
        <f>VLOOKUP($B62,Данные!$A$1:$U$1009,16,FALSE)</f>
        <v>5 лет</v>
      </c>
      <c r="V62" s="407">
        <v>14205</v>
      </c>
    </row>
    <row r="63" spans="1:22" s="5" customFormat="1" ht="69.900000000000006" customHeight="1" thickBot="1">
      <c r="A63" s="372"/>
      <c r="B63" s="15" t="s">
        <v>335</v>
      </c>
      <c r="C63" s="187">
        <f>VLOOKUP(B63,Данные!A:Z,26,FALSE)</f>
        <v>1044</v>
      </c>
      <c r="D63" s="343"/>
      <c r="E63" s="345" t="str">
        <f t="shared" si="28"/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Размер, мм: 624х326х133
Вес, кг: 0</v>
      </c>
      <c r="F63" s="73" t="str">
        <f>VLOOKUP($B63,Данные!$A$1:$U$1009,6,FALSE)</f>
        <v>Л (полуширокая)</v>
      </c>
      <c r="G63" s="73" t="str">
        <f>VLOOKUP($B63,Данные!$A$1:$U$1009,8,FALSE)</f>
        <v>Samsung LM281</v>
      </c>
      <c r="H63" s="73" t="str">
        <f>VLOOKUP($B63,Данные!$A$1:$U$1009,12,FALSE)</f>
        <v>Экструдированный алюминиевый профиль (анодированный), прозрачное минеральное стекло**</v>
      </c>
      <c r="I63" s="73" t="str">
        <f>VLOOKUP($B63,Данные!$A$1:$U$1009,4,FALSE)</f>
        <v>176-264В AС</v>
      </c>
      <c r="J63" s="73">
        <f>VLOOKUP($B63,Данные!$A$1:$U$1009,5,FALSE)</f>
        <v>0.95</v>
      </c>
      <c r="K63" s="73" t="str">
        <f>VLOOKUP($B63,Данные!$A$1:$U$1009,13,FALSE)</f>
        <v xml:space="preserve"> -60°...+50° С</v>
      </c>
      <c r="L63" s="73" t="str">
        <f>VLOOKUP($B63,Данные!$A$1:$U$1009,14,FALSE)</f>
        <v>100 000 ч.</v>
      </c>
      <c r="M63" s="73" t="str">
        <f>VLOOKUP($B63,Данные!$A$1:$U$1009,10,FALSE)</f>
        <v>624х326х133</v>
      </c>
      <c r="N63" s="73">
        <f>VLOOKUP($B63,Данные!$A$1:$U$1009,11,FALSE)</f>
        <v>0</v>
      </c>
      <c r="O63" s="93" t="str">
        <f>VLOOKUP($B63,Данные!$A$1:$U$1009,9,FALSE)</f>
        <v>-</v>
      </c>
      <c r="P63" s="74">
        <f>VLOOKUP($B63,Данные!$A$1:$U$1009,2,FALSE)</f>
        <v>372</v>
      </c>
      <c r="Q63" s="43">
        <f>VLOOKUP($B63,Данные!$A$1:$U$1009,3,FALSE)</f>
        <v>52080</v>
      </c>
      <c r="R63" s="102">
        <f t="shared" si="4"/>
        <v>140</v>
      </c>
      <c r="S63" s="90" t="str">
        <f>VLOOKUP($B63,Данные!$A$1:$U$1009,15,FALSE)</f>
        <v>5000К 4000К* 3000К*</v>
      </c>
      <c r="T63" s="90">
        <f>VLOOKUP($B63,Данные!$A$1:$U$1009,7,FALSE)</f>
        <v>67</v>
      </c>
      <c r="U63" s="105" t="str">
        <f>VLOOKUP($B63,Данные!$A$1:$U$1009,16,FALSE)</f>
        <v>5 лет</v>
      </c>
      <c r="V63" s="408">
        <v>20005</v>
      </c>
    </row>
    <row r="64" spans="1:22" s="5" customFormat="1" ht="39.9" customHeight="1" thickBot="1">
      <c r="A64" s="376" t="s">
        <v>351</v>
      </c>
      <c r="B64" s="377"/>
      <c r="C64" s="377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</row>
    <row r="65" spans="1:27" s="5" customFormat="1" ht="69.900000000000006" customHeight="1">
      <c r="A65" s="145"/>
      <c r="B65" s="14" t="s">
        <v>347</v>
      </c>
      <c r="C65" s="188">
        <f>VLOOKUP(B65,Данные!A:Z,26,FALSE)</f>
        <v>1045</v>
      </c>
      <c r="D65" s="337" t="s">
        <v>287</v>
      </c>
      <c r="E65" s="379" t="str">
        <f>CONCATENATE(CONCATENATE($F$3,": ",$F65,CHAR(10),$H$3,": ",$H65,CHAR(10),$I$3,": ",$I65,CHAR(10),$J$3,": ",$J65,CHAR(10),$K$3,": ",$K65,CHAR(10),$L$3,": ",$L65,CHAR(10)),"*Цветовая темп.:
 5000К (по умолчанию), 
 3000К, 4000К (опционально);"," 
 **Рассеиватель: 
 - силикатное стекло (по умолч.),
 - прозр. поликарбонат (опция),
 - матовый поликарбонат (опция).")</f>
        <v>КСС: Л (полуширокая)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100 000 ч.
*Цветовая темп.:
 5000К (по умолчанию), 
 3000К, 4000К (опционально); 
 **Рассеиватель: 
 - силикатное стекло (по умолч.),
 - прозр. поликарбонат (опция),
 - матовый поликарбонат (опция).</v>
      </c>
      <c r="F65" s="143" t="str">
        <f>VLOOKUP($B65,Данные!$A$1:$U$1009,6,FALSE)</f>
        <v>Л (полуширокая)</v>
      </c>
      <c r="G65" s="143" t="str">
        <f>VLOOKUP($B65,Данные!$A$1:$U$1009,8,FALSE)</f>
        <v>Samsung LM281</v>
      </c>
      <c r="H65" s="143" t="str">
        <f>VLOOKUP($B65,Данные!$A$1:$U$1009,12,FALSE)</f>
        <v>Экструдированный алюминиевый профиль (анодированный), прозрачное минеральное стекло**</v>
      </c>
      <c r="I65" s="143" t="str">
        <f>VLOOKUP($B65,Данные!$A$1:$U$1009,4,FALSE)</f>
        <v>176-264В AС</v>
      </c>
      <c r="J65" s="143">
        <f>VLOOKUP($B65,Данные!$A$1:$U$1009,5,FALSE)</f>
        <v>0.95</v>
      </c>
      <c r="K65" s="143" t="str">
        <f>VLOOKUP($B65,Данные!$A$1:$U$1009,13,FALSE)</f>
        <v xml:space="preserve"> -60°...+50° С</v>
      </c>
      <c r="L65" s="143" t="str">
        <f>VLOOKUP($B65,Данные!$A$1:$U$1009,14,FALSE)</f>
        <v>100 000 ч.</v>
      </c>
      <c r="M65" s="143" t="str">
        <f>VLOOKUP($B65,Данные!$A$1:$U$1009,10,FALSE)</f>
        <v>479х100х151</v>
      </c>
      <c r="N65" s="143">
        <f>VLOOKUP($B65,Данные!$A$1:$U$1009,11,FALSE)</f>
        <v>0</v>
      </c>
      <c r="O65" s="92" t="str">
        <f>VLOOKUP($B65,Данные!$A$1:$U$1009,9,FALSE)</f>
        <v>-</v>
      </c>
      <c r="P65" s="34">
        <f>VLOOKUP($B65,Данные!$A$1:$U$1009,2,FALSE)</f>
        <v>32</v>
      </c>
      <c r="Q65" s="141">
        <f>VLOOKUP($B65,Данные!$A$1:$U$1009,3,FALSE)</f>
        <v>4480</v>
      </c>
      <c r="R65" s="101">
        <f t="shared" ref="R65:R66" si="30">Q65/P65</f>
        <v>140</v>
      </c>
      <c r="S65" s="89" t="str">
        <f>VLOOKUP($B65,Данные!$A$1:$U$1009,15,FALSE)</f>
        <v>5000К 4000К* 3000К*</v>
      </c>
      <c r="T65" s="89">
        <f>VLOOKUP($B65,Данные!$A$1:$U$1009,7,FALSE)</f>
        <v>67</v>
      </c>
      <c r="U65" s="104" t="str">
        <f>VLOOKUP($B65,Данные!$A$1:$U$1009,16,FALSE)</f>
        <v>5 лет</v>
      </c>
      <c r="V65" s="407">
        <v>4005</v>
      </c>
    </row>
    <row r="66" spans="1:27" s="5" customFormat="1" ht="69.900000000000006" customHeight="1">
      <c r="A66" s="145"/>
      <c r="B66" s="14" t="s">
        <v>348</v>
      </c>
      <c r="C66" s="188">
        <f>VLOOKUP(B66,Данные!A:Z,26,FALSE)</f>
        <v>1046</v>
      </c>
      <c r="D66" s="337"/>
      <c r="E66" s="379"/>
      <c r="F66" s="143" t="str">
        <f>VLOOKUP($B66,Данные!$A$1:$U$1009,6,FALSE)</f>
        <v>Л (полуширокая)</v>
      </c>
      <c r="G66" s="143" t="str">
        <f>VLOOKUP($B66,Данные!$A$1:$U$1009,8,FALSE)</f>
        <v>Samsung LM281</v>
      </c>
      <c r="H66" s="143" t="str">
        <f>VLOOKUP($B66,Данные!$A$1:$U$1009,12,FALSE)</f>
        <v>Экструдированный алюминиевый профиль (анодированный), прозрачное минеральное стекло**</v>
      </c>
      <c r="I66" s="143" t="str">
        <f>VLOOKUP($B66,Данные!$A$1:$U$1009,4,FALSE)</f>
        <v>176-264В AС</v>
      </c>
      <c r="J66" s="143">
        <f>VLOOKUP($B66,Данные!$A$1:$U$1009,5,FALSE)</f>
        <v>0.95</v>
      </c>
      <c r="K66" s="143" t="str">
        <f>VLOOKUP($B66,Данные!$A$1:$U$1009,13,FALSE)</f>
        <v xml:space="preserve"> -60°...+50° С</v>
      </c>
      <c r="L66" s="143" t="str">
        <f>VLOOKUP($B66,Данные!$A$1:$U$1009,14,FALSE)</f>
        <v>100 000 ч.</v>
      </c>
      <c r="M66" s="143" t="str">
        <f>VLOOKUP($B66,Данные!$A$1:$U$1009,10,FALSE)</f>
        <v>566х100х169</v>
      </c>
      <c r="N66" s="143">
        <f>VLOOKUP($B66,Данные!$A$1:$U$1009,11,FALSE)</f>
        <v>0</v>
      </c>
      <c r="O66" s="92" t="str">
        <f>VLOOKUP($B66,Данные!$A$1:$U$1009,9,FALSE)</f>
        <v>-</v>
      </c>
      <c r="P66" s="34">
        <f>VLOOKUP($B66,Данные!$A$1:$U$1009,2,FALSE)</f>
        <v>48</v>
      </c>
      <c r="Q66" s="141">
        <f>VLOOKUP($B66,Данные!$A$1:$U$1009,3,FALSE)</f>
        <v>6720</v>
      </c>
      <c r="R66" s="101">
        <f t="shared" si="30"/>
        <v>140</v>
      </c>
      <c r="S66" s="89" t="str">
        <f>VLOOKUP($B66,Данные!$A$1:$U$1009,15,FALSE)</f>
        <v>5000К 4000К* 3000К*</v>
      </c>
      <c r="T66" s="89">
        <f>VLOOKUP($B66,Данные!$A$1:$U$1009,7,FALSE)</f>
        <v>67</v>
      </c>
      <c r="U66" s="104" t="str">
        <f>VLOOKUP($B66,Данные!$A$1:$U$1009,16,FALSE)</f>
        <v>5 лет</v>
      </c>
      <c r="V66" s="407">
        <v>4805</v>
      </c>
    </row>
    <row r="67" spans="1:27" s="5" customFormat="1" ht="69.900000000000006" customHeight="1">
      <c r="A67" s="371"/>
      <c r="B67" s="150" t="s">
        <v>124</v>
      </c>
      <c r="C67" s="189">
        <f>VLOOKUP(B67,Данные!A:Z,26,FALSE)</f>
        <v>1047</v>
      </c>
      <c r="D67" s="337"/>
      <c r="E67" s="379"/>
      <c r="F67" s="143" t="str">
        <f>VLOOKUP($B67,Данные!$A$1:$U$1009,6,FALSE)</f>
        <v>Л (полуширокая)</v>
      </c>
      <c r="G67" s="143" t="str">
        <f>VLOOKUP($B67,Данные!$A$1:$U$1009,8,FALSE)</f>
        <v>Samsung LM281</v>
      </c>
      <c r="H67" s="143" t="str">
        <f>VLOOKUP($B67,Данные!$A$1:$U$1009,12,FALSE)</f>
        <v>Экструдированный алюминиевый профиль (анодированный), прозрачное минеральное стекло**</v>
      </c>
      <c r="I67" s="143" t="str">
        <f>VLOOKUP($B67,Данные!$A$1:$U$1009,4,FALSE)</f>
        <v>176-264В AС</v>
      </c>
      <c r="J67" s="143">
        <f>VLOOKUP($B67,Данные!$A$1:$U$1009,5,FALSE)</f>
        <v>0.95</v>
      </c>
      <c r="K67" s="143" t="str">
        <f>VLOOKUP($B67,Данные!$A$1:$U$1009,13,FALSE)</f>
        <v xml:space="preserve"> -60°...+50° С</v>
      </c>
      <c r="L67" s="143" t="str">
        <f>VLOOKUP($B67,Данные!$A$1:$U$1009,14,FALSE)</f>
        <v>100 000 ч</v>
      </c>
      <c r="M67" s="143" t="str">
        <f>VLOOKUP($B67,Данные!$A$1:$U$1009,10,FALSE)</f>
        <v>479х100х151</v>
      </c>
      <c r="N67" s="143">
        <f>VLOOKUP($B67,Данные!$A$1:$U$1009,11,FALSE)</f>
        <v>0</v>
      </c>
      <c r="O67" s="92" t="str">
        <f>VLOOKUP($B67,Данные!$A$1:$U$1009,9,FALSE)</f>
        <v>-</v>
      </c>
      <c r="P67" s="34">
        <f>VLOOKUP($B67,Данные!$A$1:$U$1009,2,FALSE)</f>
        <v>64</v>
      </c>
      <c r="Q67" s="141">
        <f>VLOOKUP($B67,Данные!$A$1:$U$1009,3,FALSE)</f>
        <v>8960</v>
      </c>
      <c r="R67" s="101">
        <f t="shared" si="4"/>
        <v>140</v>
      </c>
      <c r="S67" s="89" t="str">
        <f>VLOOKUP($B67,Данные!$A$1:$U$1009,15,FALSE)</f>
        <v>5000К 4000К* 3000К*</v>
      </c>
      <c r="T67" s="89">
        <f>VLOOKUP($B67,Данные!$A$1:$U$1009,7,FALSE)</f>
        <v>67</v>
      </c>
      <c r="U67" s="104" t="str">
        <f>VLOOKUP($B67,Данные!$A$1:$U$1009,16,FALSE)</f>
        <v>5 лет</v>
      </c>
      <c r="V67" s="407">
        <v>4835</v>
      </c>
    </row>
    <row r="68" spans="1:27" s="5" customFormat="1" ht="69.900000000000006" customHeight="1">
      <c r="A68" s="371"/>
      <c r="B68" s="18" t="s">
        <v>125</v>
      </c>
      <c r="C68" s="186">
        <f>VLOOKUP(B68,Данные!A:Z,26,FALSE)</f>
        <v>1048</v>
      </c>
      <c r="D68" s="337"/>
      <c r="E68" s="379"/>
      <c r="F68" s="72" t="str">
        <f>VLOOKUP($B68,Данные!$A$1:$U$1009,6,FALSE)</f>
        <v>Л (полуширокая)</v>
      </c>
      <c r="G68" s="72" t="str">
        <f>VLOOKUP($B68,Данные!$A$1:$U$1009,8,FALSE)</f>
        <v>Samsung LM281</v>
      </c>
      <c r="H68" s="72" t="str">
        <f>VLOOKUP($B68,Данные!$A$1:$U$1009,12,FALSE)</f>
        <v>Экструдированный алюминиевый профиль (анодированный), прозрачное минеральное стекло**</v>
      </c>
      <c r="I68" s="72" t="str">
        <f>VLOOKUP($B68,Данные!$A$1:$U$1009,4,FALSE)</f>
        <v>176-264В AС</v>
      </c>
      <c r="J68" s="72">
        <f>VLOOKUP($B68,Данные!$A$1:$U$1009,5,FALSE)</f>
        <v>0.95</v>
      </c>
      <c r="K68" s="72" t="str">
        <f>VLOOKUP($B68,Данные!$A$1:$U$1009,13,FALSE)</f>
        <v xml:space="preserve"> -60°...+50° С</v>
      </c>
      <c r="L68" s="72" t="str">
        <f>VLOOKUP($B68,Данные!$A$1:$U$1009,14,FALSE)</f>
        <v>100 000 ч</v>
      </c>
      <c r="M68" s="72" t="str">
        <f>VLOOKUP($B68,Данные!$A$1:$U$1009,10,FALSE)</f>
        <v>566х100х169</v>
      </c>
      <c r="N68" s="72">
        <f>VLOOKUP($B68,Данные!$A$1:$U$1009,11,FALSE)</f>
        <v>0</v>
      </c>
      <c r="O68" s="92" t="str">
        <f>VLOOKUP($B68,Данные!$A$1:$U$1009,9,FALSE)</f>
        <v>-</v>
      </c>
      <c r="P68" s="34">
        <f>VLOOKUP($B68,Данные!$A$1:$U$1009,2,FALSE)</f>
        <v>96</v>
      </c>
      <c r="Q68" s="44">
        <f>VLOOKUP($B68,Данные!$A$1:$U$1009,3,FALSE)</f>
        <v>13440</v>
      </c>
      <c r="R68" s="101">
        <f t="shared" si="4"/>
        <v>140</v>
      </c>
      <c r="S68" s="89" t="str">
        <f>VLOOKUP($B68,Данные!$A$1:$U$1009,15,FALSE)</f>
        <v>5000К 4000К* 3000К*</v>
      </c>
      <c r="T68" s="89">
        <f>VLOOKUP($B68,Данные!$A$1:$U$1009,7,FALSE)</f>
        <v>67</v>
      </c>
      <c r="U68" s="104" t="str">
        <f>VLOOKUP($B68,Данные!$A$1:$U$1009,16,FALSE)</f>
        <v>5 лет</v>
      </c>
      <c r="V68" s="407">
        <v>5670</v>
      </c>
    </row>
    <row r="69" spans="1:27" s="5" customFormat="1" ht="69.900000000000006" customHeight="1">
      <c r="A69" s="371"/>
      <c r="B69" s="18" t="s">
        <v>126</v>
      </c>
      <c r="C69" s="186">
        <f>VLOOKUP(B69,Данные!A:Z,26,FALSE)</f>
        <v>1049</v>
      </c>
      <c r="D69" s="337"/>
      <c r="E69" s="379"/>
      <c r="F69" s="72" t="str">
        <f>VLOOKUP($B69,Данные!$A$1:$U$1009,6,FALSE)</f>
        <v>Л (полуширокая)</v>
      </c>
      <c r="G69" s="72" t="str">
        <f>VLOOKUP($B69,Данные!$A$1:$U$1009,8,FALSE)</f>
        <v>Samsung LM281</v>
      </c>
      <c r="H69" s="72" t="str">
        <f>VLOOKUP($B69,Данные!$A$1:$U$1009,12,FALSE)</f>
        <v>Экструдированный алюминиевый профиль (анодированный), прозрачное минеральное стекло**</v>
      </c>
      <c r="I69" s="72" t="str">
        <f>VLOOKUP($B69,Данные!$A$1:$U$1009,4,FALSE)</f>
        <v>176-264В AС</v>
      </c>
      <c r="J69" s="72">
        <f>VLOOKUP($B69,Данные!$A$1:$U$1009,5,FALSE)</f>
        <v>0.95</v>
      </c>
      <c r="K69" s="72" t="str">
        <f>VLOOKUP($B69,Данные!$A$1:$U$1009,13,FALSE)</f>
        <v xml:space="preserve"> -60°...+50° С</v>
      </c>
      <c r="L69" s="72" t="str">
        <f>VLOOKUP($B69,Данные!$A$1:$U$1009,14,FALSE)</f>
        <v>100 000 ч</v>
      </c>
      <c r="M69" s="72" t="str">
        <f>VLOOKUP($B69,Данные!$A$1:$U$1009,10,FALSE)</f>
        <v>652х100х194</v>
      </c>
      <c r="N69" s="72">
        <f>VLOOKUP($B69,Данные!$A$1:$U$1009,11,FALSE)</f>
        <v>0</v>
      </c>
      <c r="O69" s="92" t="str">
        <f>VLOOKUP($B69,Данные!$A$1:$U$1009,9,FALSE)</f>
        <v>-</v>
      </c>
      <c r="P69" s="34">
        <f>VLOOKUP($B69,Данные!$A$1:$U$1009,2,FALSE)</f>
        <v>124</v>
      </c>
      <c r="Q69" s="44">
        <f>VLOOKUP($B69,Данные!$A$1:$U$1009,3,FALSE)</f>
        <v>17360</v>
      </c>
      <c r="R69" s="101">
        <f t="shared" si="4"/>
        <v>140</v>
      </c>
      <c r="S69" s="89" t="str">
        <f>VLOOKUP($B69,Данные!$A$1:$U$1009,15,FALSE)</f>
        <v>5000К 4000К* 3000К*</v>
      </c>
      <c r="T69" s="89">
        <f>VLOOKUP($B69,Данные!$A$1:$U$1009,7,FALSE)</f>
        <v>67</v>
      </c>
      <c r="U69" s="104" t="str">
        <f>VLOOKUP($B69,Данные!$A$1:$U$1009,16,FALSE)</f>
        <v>5 лет</v>
      </c>
      <c r="V69" s="407">
        <v>6410</v>
      </c>
      <c r="W69" s="75"/>
    </row>
    <row r="70" spans="1:27" s="5" customFormat="1" ht="69.900000000000006" customHeight="1" thickBot="1">
      <c r="A70" s="372"/>
      <c r="B70" s="15" t="s">
        <v>127</v>
      </c>
      <c r="C70" s="187">
        <f>VLOOKUP(B70,Данные!A:Z,26,FALSE)</f>
        <v>1050</v>
      </c>
      <c r="D70" s="343"/>
      <c r="E70" s="380"/>
      <c r="F70" s="73" t="str">
        <f>VLOOKUP($B70,Данные!$A$1:$U$1009,6,FALSE)</f>
        <v>Л (полуширокая)</v>
      </c>
      <c r="G70" s="73" t="str">
        <f>VLOOKUP($B70,Данные!$A$1:$U$1009,8,FALSE)</f>
        <v>Samsung LM281</v>
      </c>
      <c r="H70" s="73" t="str">
        <f>VLOOKUP($B70,Данные!$A$1:$U$1009,12,FALSE)</f>
        <v>Экструдированный алюминиевый профиль (анодированный), прозрачное минеральное стекло**</v>
      </c>
      <c r="I70" s="73" t="str">
        <f>VLOOKUP($B70,Данные!$A$1:$U$1009,4,FALSE)</f>
        <v>176-264В AС</v>
      </c>
      <c r="J70" s="73">
        <f>VLOOKUP($B70,Данные!$A$1:$U$1009,5,FALSE)</f>
        <v>0.95</v>
      </c>
      <c r="K70" s="73" t="str">
        <f>VLOOKUP($B70,Данные!$A$1:$U$1009,13,FALSE)</f>
        <v xml:space="preserve"> -60°...+50° С</v>
      </c>
      <c r="L70" s="73" t="str">
        <f>VLOOKUP($B70,Данные!$A$1:$U$1009,14,FALSE)</f>
        <v>100 000 ч</v>
      </c>
      <c r="M70" s="73" t="str">
        <f>VLOOKUP($B70,Данные!$A$1:$U$1009,10,FALSE)</f>
        <v>1031х100х294</v>
      </c>
      <c r="N70" s="73">
        <f>VLOOKUP($B70,Данные!$A$1:$U$1009,11,FALSE)</f>
        <v>0</v>
      </c>
      <c r="O70" s="93" t="str">
        <f>VLOOKUP($B70,Данные!$A$1:$U$1009,9,FALSE)</f>
        <v>-</v>
      </c>
      <c r="P70" s="74">
        <f>VLOOKUP($B70,Данные!$A$1:$U$1009,2,FALSE)</f>
        <v>192</v>
      </c>
      <c r="Q70" s="43">
        <f>VLOOKUP($B70,Данные!$A$1:$U$1009,3,FALSE)</f>
        <v>26880</v>
      </c>
      <c r="R70" s="102">
        <f t="shared" si="4"/>
        <v>140</v>
      </c>
      <c r="S70" s="90" t="str">
        <f>VLOOKUP($B70,Данные!$A$1:$U$1009,15,FALSE)</f>
        <v>5000К 4000К* 3000К*</v>
      </c>
      <c r="T70" s="90">
        <f>VLOOKUP($B70,Данные!$A$1:$U$1009,7,FALSE)</f>
        <v>67</v>
      </c>
      <c r="U70" s="105" t="str">
        <f>VLOOKUP($B70,Данные!$A$1:$U$1009,16,FALSE)</f>
        <v>5 лет</v>
      </c>
      <c r="V70" s="408">
        <v>9475</v>
      </c>
    </row>
    <row r="71" spans="1:27" s="5" customFormat="1" ht="140.1" customHeight="1">
      <c r="A71" s="373"/>
      <c r="B71" s="11" t="s">
        <v>128</v>
      </c>
      <c r="C71" s="190">
        <f>VLOOKUP(B71,Данные!A:Z,26,FALSE)</f>
        <v>1051</v>
      </c>
      <c r="D71" s="342" t="s">
        <v>287</v>
      </c>
      <c r="E71" s="344" t="s">
        <v>289</v>
      </c>
      <c r="F71" s="82" t="str">
        <f>VLOOKUP($B71,Данные!$A$1:$U$1009,6,FALSE)</f>
        <v>Л (полуширокая)</v>
      </c>
      <c r="G71" s="71" t="str">
        <f>VLOOKUP($B71,Данные!$A$1:$U$1009,8,FALSE)</f>
        <v>Samsung LM281</v>
      </c>
      <c r="H71" s="71" t="str">
        <f>VLOOKUP($B71,Данные!$A$1:$U$1009,12,FALSE)</f>
        <v>Экструдированный алюминиевый профиль (анодированный), прозрачное минеральное стекло**</v>
      </c>
      <c r="I71" s="71" t="str">
        <f>VLOOKUP($B71,Данные!$A$1:$U$1009,4,FALSE)</f>
        <v>176-264В AС</v>
      </c>
      <c r="J71" s="71">
        <f>VLOOKUP($B71,Данные!$A$1:$U$1009,5,FALSE)</f>
        <v>0.95</v>
      </c>
      <c r="K71" s="71" t="str">
        <f>VLOOKUP($B71,Данные!$A$1:$U$1009,13,FALSE)</f>
        <v xml:space="preserve"> -60°...+50° С</v>
      </c>
      <c r="L71" s="71" t="str">
        <f>VLOOKUP($B71,Данные!$A$1:$U$1009,14,FALSE)</f>
        <v>100 000 ч</v>
      </c>
      <c r="M71" s="71" t="str">
        <f>VLOOKUP($B71,Данные!$A$1:$U$1009,10,FALSE)</f>
        <v>497х210х146</v>
      </c>
      <c r="N71" s="71">
        <f>VLOOKUP($B71,Данные!$A$1:$U$1009,11,FALSE)</f>
        <v>0</v>
      </c>
      <c r="O71" s="91" t="str">
        <f>VLOOKUP($B71,Данные!$A$1:$U$1009,9,FALSE)</f>
        <v>-</v>
      </c>
      <c r="P71" s="33">
        <f>VLOOKUP($B71,Данные!$A$1:$U$1009,2,FALSE)</f>
        <v>192</v>
      </c>
      <c r="Q71" s="42">
        <f>VLOOKUP($B71,Данные!$A$1:$U$1009,3,FALSE)</f>
        <v>26880</v>
      </c>
      <c r="R71" s="100">
        <f t="shared" si="4"/>
        <v>140</v>
      </c>
      <c r="S71" s="88" t="str">
        <f>VLOOKUP($B71,Данные!$A$1:$U$1009,15,FALSE)</f>
        <v>5000К 4000К* 3000К*</v>
      </c>
      <c r="T71" s="88">
        <f>VLOOKUP($B71,Данные!$A$1:$U$1009,7,FALSE)</f>
        <v>67</v>
      </c>
      <c r="U71" s="103" t="str">
        <f>VLOOKUP($B71,Данные!$A$1:$U$1009,16,FALSE)</f>
        <v>5 лет</v>
      </c>
      <c r="V71" s="406">
        <v>11345</v>
      </c>
    </row>
    <row r="72" spans="1:27" s="5" customFormat="1" ht="140.1" customHeight="1" thickBot="1">
      <c r="A72" s="372"/>
      <c r="B72" s="16" t="s">
        <v>129</v>
      </c>
      <c r="C72" s="191">
        <f>VLOOKUP(B72,Данные!A:Z,26,FALSE)</f>
        <v>1052</v>
      </c>
      <c r="D72" s="343"/>
      <c r="E72" s="345" t="str">
        <f t="shared" ref="E72" si="31">CONCATENATE(CONCATENATE($F$3,": ",$F72,CHAR(10),$G$3,": ",$G72,CHAR(10),$H$3,": ",$H72,CHAR(10),$I$3,": ",$I72,CHAR(10),$J$3,": ",$J72,CHAR(10),$K$3,": ",$K72,CHAR(10),$L$3,": ",$L72,CHAR(10)),CONCATENATE($M$3,": ",$M72,CHAR(10),$N$3,": ",$N72))</f>
        <v>КСС: Л (полуширокая)
Светодиоды: Samsung LM281
Материал: Экструдированный алюминиевый профиль (анодированный), прозрачное минеральное стекло**
Рабочее напряжение: 176-264В AС
Сos φ: 0,95
Рабочая t°:  -60°...+50° С
Срок службы: 100 000 ч
Размер, мм: 583х210х169
Вес, кг: 0</v>
      </c>
      <c r="F72" s="144" t="str">
        <f>VLOOKUP($B72,Данные!$A$1:$U$1009,6,FALSE)</f>
        <v>Л (полуширокая)</v>
      </c>
      <c r="G72" s="144" t="str">
        <f>VLOOKUP($B72,Данные!$A$1:$U$1009,8,FALSE)</f>
        <v>Samsung LM281</v>
      </c>
      <c r="H72" s="144" t="str">
        <f>VLOOKUP($B72,Данные!$A$1:$U$1009,12,FALSE)</f>
        <v>Экструдированный алюминиевый профиль (анодированный), прозрачное минеральное стекло**</v>
      </c>
      <c r="I72" s="144" t="str">
        <f>VLOOKUP($B72,Данные!$A$1:$U$1009,4,FALSE)</f>
        <v>176-264В AС</v>
      </c>
      <c r="J72" s="144">
        <f>VLOOKUP($B72,Данные!$A$1:$U$1009,5,FALSE)</f>
        <v>0.95</v>
      </c>
      <c r="K72" s="144" t="str">
        <f>VLOOKUP($B72,Данные!$A$1:$U$1009,13,FALSE)</f>
        <v xml:space="preserve"> -60°...+50° С</v>
      </c>
      <c r="L72" s="144" t="str">
        <f>VLOOKUP($B72,Данные!$A$1:$U$1009,14,FALSE)</f>
        <v>100 000 ч</v>
      </c>
      <c r="M72" s="144" t="str">
        <f>VLOOKUP($B72,Данные!$A$1:$U$1009,10,FALSE)</f>
        <v>583х210х169</v>
      </c>
      <c r="N72" s="144">
        <f>VLOOKUP($B72,Данные!$A$1:$U$1009,11,FALSE)</f>
        <v>0</v>
      </c>
      <c r="O72" s="93" t="str">
        <f>VLOOKUP($B72,Данные!$A$1:$U$1009,9,FALSE)</f>
        <v>-</v>
      </c>
      <c r="P72" s="74">
        <f>VLOOKUP($B72,Данные!$A$1:$U$1009,2,FALSE)</f>
        <v>248</v>
      </c>
      <c r="Q72" s="43">
        <f>VLOOKUP($B72,Данные!$A$1:$U$1009,3,FALSE)</f>
        <v>34720</v>
      </c>
      <c r="R72" s="102">
        <f t="shared" si="4"/>
        <v>140</v>
      </c>
      <c r="S72" s="90" t="str">
        <f>VLOOKUP($B72,Данные!$A$1:$U$1009,15,FALSE)</f>
        <v>5000К 4000К* 3000К*</v>
      </c>
      <c r="T72" s="90">
        <f>VLOOKUP($B72,Данные!$A$1:$U$1009,7,FALSE)</f>
        <v>67</v>
      </c>
      <c r="U72" s="105" t="str">
        <f>VLOOKUP($B72,Данные!$A$1:$U$1009,16,FALSE)</f>
        <v>5 лет</v>
      </c>
      <c r="V72" s="408">
        <v>12805</v>
      </c>
    </row>
    <row r="73" spans="1:27" s="5" customFormat="1" ht="200.1" customHeight="1">
      <c r="A73" s="367" t="s">
        <v>541</v>
      </c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7"/>
      <c r="X73" s="7"/>
      <c r="Y73" s="7"/>
      <c r="Z73" s="7"/>
      <c r="AA73" s="7"/>
    </row>
    <row r="92" spans="19:19">
      <c r="S92" s="2"/>
    </row>
  </sheetData>
  <mergeCells count="46">
    <mergeCell ref="D52:D57"/>
    <mergeCell ref="E52:E57"/>
    <mergeCell ref="D22:D27"/>
    <mergeCell ref="E22:E27"/>
    <mergeCell ref="A34:A39"/>
    <mergeCell ref="D46:D51"/>
    <mergeCell ref="E46:E51"/>
    <mergeCell ref="A40:A45"/>
    <mergeCell ref="D40:D45"/>
    <mergeCell ref="E40:E45"/>
    <mergeCell ref="D65:D70"/>
    <mergeCell ref="E65:E70"/>
    <mergeCell ref="A71:A72"/>
    <mergeCell ref="D71:D72"/>
    <mergeCell ref="E71:E72"/>
    <mergeCell ref="A64:V64"/>
    <mergeCell ref="A1:V1"/>
    <mergeCell ref="A4:A9"/>
    <mergeCell ref="D4:D9"/>
    <mergeCell ref="E4:E9"/>
    <mergeCell ref="A2:A3"/>
    <mergeCell ref="B2:B3"/>
    <mergeCell ref="D2:D3"/>
    <mergeCell ref="U2:U3"/>
    <mergeCell ref="V2:V3"/>
    <mergeCell ref="D34:D39"/>
    <mergeCell ref="E34:E39"/>
    <mergeCell ref="C2:C3"/>
    <mergeCell ref="E58:E63"/>
    <mergeCell ref="A46:A51"/>
    <mergeCell ref="A73:V73"/>
    <mergeCell ref="E2:T2"/>
    <mergeCell ref="A10:A15"/>
    <mergeCell ref="D10:D15"/>
    <mergeCell ref="E10:E15"/>
    <mergeCell ref="A16:A21"/>
    <mergeCell ref="A28:A33"/>
    <mergeCell ref="D28:D33"/>
    <mergeCell ref="E28:E33"/>
    <mergeCell ref="A58:A63"/>
    <mergeCell ref="D58:D63"/>
    <mergeCell ref="D16:D21"/>
    <mergeCell ref="E16:E21"/>
    <mergeCell ref="A67:A70"/>
    <mergeCell ref="A52:A57"/>
    <mergeCell ref="A22:A27"/>
  </mergeCells>
  <pageMargins left="0.25" right="0.25" top="0.75" bottom="0.75" header="0.3" footer="0.3"/>
  <pageSetup paperSize="9" scale="48" fitToHeight="0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BE5FF"/>
    <outlinePr summaryBelow="0" summaryRight="0"/>
    <pageSetUpPr fitToPage="1"/>
  </sheetPr>
  <dimension ref="A1:V92"/>
  <sheetViews>
    <sheetView view="pageBreakPreview" zoomScale="50" zoomScaleNormal="65" zoomScaleSheetLayoutView="50" workbookViewId="0">
      <pane xSplit="2" ySplit="3" topLeftCell="C4" activePane="bottomRight" state="frozen"/>
      <selection activeCell="C4" sqref="C1:C1048576"/>
      <selection pane="topRight" activeCell="C4" sqref="C1:C1048576"/>
      <selection pane="bottomLeft" activeCell="C4" sqref="C1:C1048576"/>
      <selection pane="bottomRight" activeCell="W3" sqref="W1:Y1048576"/>
    </sheetView>
  </sheetViews>
  <sheetFormatPr defaultColWidth="9.109375" defaultRowHeight="15" outlineLevelCol="1"/>
  <cols>
    <col min="1" max="1" width="65.6640625" style="5" customWidth="1"/>
    <col min="2" max="2" width="32.6640625" style="8" customWidth="1"/>
    <col min="3" max="3" width="20.109375" style="8" customWidth="1"/>
    <col min="4" max="4" width="25.6640625" style="5" customWidth="1"/>
    <col min="5" max="5" width="40.6640625" style="3" customWidth="1" collapsed="1"/>
    <col min="6" max="6" width="33.109375" style="5" hidden="1" customWidth="1" outlineLevel="1"/>
    <col min="7" max="7" width="27.109375" style="5" hidden="1" customWidth="1" outlineLevel="1"/>
    <col min="8" max="8" width="38.5546875" style="5" hidden="1" customWidth="1" outlineLevel="1"/>
    <col min="9" max="9" width="18.5546875" style="5" hidden="1" customWidth="1" outlineLevel="1"/>
    <col min="10" max="10" width="9.44140625" style="5" hidden="1" customWidth="1" outlineLevel="1"/>
    <col min="11" max="11" width="15.88671875" style="5" hidden="1" customWidth="1" outlineLevel="1"/>
    <col min="12" max="12" width="19.5546875" style="5" hidden="1" customWidth="1" outlineLevel="1"/>
    <col min="13" max="13" width="16.88671875" style="5" hidden="1" customWidth="1" outlineLevel="1"/>
    <col min="14" max="14" width="10.44140625" style="5" hidden="1" customWidth="1" outlineLevel="1"/>
    <col min="15" max="15" width="12.6640625" style="5" customWidth="1"/>
    <col min="16" max="16" width="14.6640625" style="5" customWidth="1"/>
    <col min="17" max="17" width="11.88671875" style="5" customWidth="1"/>
    <col min="18" max="18" width="12.6640625" style="5" customWidth="1"/>
    <col min="19" max="19" width="13.6640625" style="5" customWidth="1"/>
    <col min="20" max="20" width="12.109375" style="5" customWidth="1"/>
    <col min="21" max="21" width="14.6640625" style="5" customWidth="1"/>
    <col min="22" max="22" width="19" style="5" customWidth="1"/>
    <col min="23" max="16384" width="9.109375" style="5"/>
  </cols>
  <sheetData>
    <row r="1" spans="1:22" ht="30" customHeight="1">
      <c r="A1" s="386" t="s">
        <v>31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</row>
    <row r="2" spans="1:22" s="106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</row>
    <row r="3" spans="1:22" s="106" customFormat="1" ht="76.5" customHeight="1" thickBot="1">
      <c r="A3" s="359"/>
      <c r="B3" s="359"/>
      <c r="C3" s="359"/>
      <c r="D3" s="359"/>
      <c r="E3" s="115" t="s">
        <v>21</v>
      </c>
      <c r="F3" s="115" t="s">
        <v>14</v>
      </c>
      <c r="G3" s="115" t="s">
        <v>6</v>
      </c>
      <c r="H3" s="115" t="s">
        <v>7</v>
      </c>
      <c r="I3" s="115" t="s">
        <v>13</v>
      </c>
      <c r="J3" s="115" t="s">
        <v>12</v>
      </c>
      <c r="K3" s="115" t="s">
        <v>11</v>
      </c>
      <c r="L3" s="115" t="s">
        <v>9</v>
      </c>
      <c r="M3" s="115" t="s">
        <v>16</v>
      </c>
      <c r="N3" s="115" t="s">
        <v>17</v>
      </c>
      <c r="O3" s="115" t="s">
        <v>2</v>
      </c>
      <c r="P3" s="115" t="s">
        <v>35</v>
      </c>
      <c r="Q3" s="115" t="s">
        <v>37</v>
      </c>
      <c r="R3" s="115" t="s">
        <v>36</v>
      </c>
      <c r="S3" s="115" t="s">
        <v>29</v>
      </c>
      <c r="T3" s="115" t="s">
        <v>3</v>
      </c>
      <c r="U3" s="364"/>
      <c r="V3" s="405"/>
    </row>
    <row r="4" spans="1:22" ht="90" customHeight="1">
      <c r="A4" s="354"/>
      <c r="B4" s="11" t="s">
        <v>146</v>
      </c>
      <c r="C4" s="190">
        <f>VLOOKUP(B4,Данные!A1:Z358,26,FALSE)</f>
        <v>2001</v>
      </c>
      <c r="D4" s="342" t="s">
        <v>33</v>
      </c>
      <c r="E4" s="344" t="str">
        <f>CONCATENATE(CONCATENATE("КСС: К / Г / Д / Л / Ш / М, боковая, осевая (в зав. от модели) ",$G$3,": ",$G4,CHAR(10),$H$3,": ",$H4,CHAR(10),$I$3,": ",$I4,CHAR(10),$J$3,": ",$J4,CHAR(10),$K$3,": ",$K4,CHAR(10),$L$3,": ",$L4,CHAR(10)),"*Цветовая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" s="78" t="str">
        <f>VLOOKUP($B4,Данные!$A$1:$U$1009,6,FALSE)</f>
        <v>К (концентрированная), 12 гр</v>
      </c>
      <c r="G4" s="78" t="str">
        <f>VLOOKUP($B4,Данные!$A$1:$U$1009,8,FALSE)</f>
        <v>Samsung LH351</v>
      </c>
      <c r="H4" s="78" t="str">
        <f>VLOOKUP($B4,Данные!$A$1:$U$1009,12,FALSE)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" s="78" t="str">
        <f>VLOOKUP($B4,Данные!$A$1:$U$1009,4,FALSE)</f>
        <v>176-264В AС</v>
      </c>
      <c r="J4" s="78">
        <f>VLOOKUP($B4,Данные!$A$1:$U$1009,5,FALSE)</f>
        <v>0.95</v>
      </c>
      <c r="K4" s="78" t="str">
        <f>VLOOKUP($B4,Данные!$A$1:$U$1009,13,FALSE)</f>
        <v xml:space="preserve"> -60°...+50° С</v>
      </c>
      <c r="L4" s="78" t="str">
        <f>VLOOKUP($B4,Данные!$A$1:$U$1009,14,FALSE)</f>
        <v>100 000 ч</v>
      </c>
      <c r="M4" s="78" t="str">
        <f>VLOOKUP($B4,Данные!$A$1:$U$1009,10,FALSE)</f>
        <v>224х103х154</v>
      </c>
      <c r="N4" s="78">
        <f>VLOOKUP($B4,Данные!$A$1:$U$1009,11,FALSE)</f>
        <v>0</v>
      </c>
      <c r="O4" s="24" t="str">
        <f>VLOOKUP($B4,Данные!$A$1:$U$1009,9,FALSE)</f>
        <v>-</v>
      </c>
      <c r="P4" s="21">
        <f>VLOOKUP($B4,Данные!$A$1:$U$1009,2,FALSE)</f>
        <v>27</v>
      </c>
      <c r="Q4" s="22">
        <f>VLOOKUP($B4,Данные!$A$1:$U$1009,3,FALSE)</f>
        <v>3915</v>
      </c>
      <c r="R4" s="113">
        <f>Q4/P4</f>
        <v>145</v>
      </c>
      <c r="S4" s="37" t="str">
        <f>VLOOKUP($B4,Данные!$A$1:$U$1009,15,FALSE)</f>
        <v>5000К 4000К* 3000К*</v>
      </c>
      <c r="T4" s="37">
        <f>VLOOKUP($B4,Данные!$A$1:$U$1009,7,FALSE)</f>
        <v>67</v>
      </c>
      <c r="U4" s="108" t="str">
        <f>VLOOKUP($B4,Данные!$A$1:$U$1009,16,FALSE)</f>
        <v>5 лет</v>
      </c>
      <c r="V4" s="406">
        <v>2920</v>
      </c>
    </row>
    <row r="5" spans="1:22" ht="90" customHeight="1">
      <c r="A5" s="355"/>
      <c r="B5" s="12" t="s">
        <v>147</v>
      </c>
      <c r="C5" s="192">
        <f>VLOOKUP(B5,Данные!A2:Z359,26,FALSE)</f>
        <v>2002</v>
      </c>
      <c r="D5" s="337"/>
      <c r="E5" s="338"/>
      <c r="F5" s="81" t="str">
        <f>VLOOKUP($B5,Данные!$A$1:$U$1009,6,FALSE)</f>
        <v>К (концентрированная), 12 гр</v>
      </c>
      <c r="G5" s="81" t="str">
        <f>VLOOKUP($B5,Данные!$A$1:$U$1009,8,FALSE)</f>
        <v>Samsung LH351</v>
      </c>
      <c r="H5" s="81" t="str">
        <f>VLOOKUP($B5,Данные!$A$1:$U$1009,12,FALSE)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" s="81" t="str">
        <f>VLOOKUP($B5,Данные!$A$1:$U$1009,4,FALSE)</f>
        <v>176-264В AС</v>
      </c>
      <c r="J5" s="81">
        <f>VLOOKUP($B5,Данные!$A$1:$U$1009,5,FALSE)</f>
        <v>0.95</v>
      </c>
      <c r="K5" s="81" t="str">
        <f>VLOOKUP($B5,Данные!$A$1:$U$1009,13,FALSE)</f>
        <v xml:space="preserve"> -60°...+50° С</v>
      </c>
      <c r="L5" s="81" t="str">
        <f>VLOOKUP($B5,Данные!$A$1:$U$1009,14,FALSE)</f>
        <v>100 000 ч</v>
      </c>
      <c r="M5" s="81" t="str">
        <f>VLOOKUP($B5,Данные!$A$1:$U$1009,10,FALSE)</f>
        <v>327х103х154</v>
      </c>
      <c r="N5" s="81">
        <f>VLOOKUP($B5,Данные!$A$1:$U$1009,11,FALSE)</f>
        <v>0</v>
      </c>
      <c r="O5" s="32" t="str">
        <f>VLOOKUP($B5,Данные!$A$1:$U$1009,9,FALSE)</f>
        <v>-</v>
      </c>
      <c r="P5" s="29">
        <f>VLOOKUP($B5,Данные!$A$1:$U$1009,2,FALSE)</f>
        <v>53</v>
      </c>
      <c r="Q5" s="30">
        <f>VLOOKUP($B5,Данные!$A$1:$U$1009,3,FALSE)</f>
        <v>7685</v>
      </c>
      <c r="R5" s="269">
        <f t="shared" ref="R5:R85" si="0">Q5/P5</f>
        <v>145</v>
      </c>
      <c r="S5" s="36" t="str">
        <f>VLOOKUP($B5,Данные!$A$1:$U$1009,15,FALSE)</f>
        <v>5000К 4000К* 3000К*</v>
      </c>
      <c r="T5" s="36">
        <f>VLOOKUP($B5,Данные!$A$1:$U$1009,7,FALSE)</f>
        <v>67</v>
      </c>
      <c r="U5" s="109" t="str">
        <f>VLOOKUP($B5,Данные!$A$1:$U$1009,16,FALSE)</f>
        <v>5 лет</v>
      </c>
      <c r="V5" s="407">
        <v>4585</v>
      </c>
    </row>
    <row r="6" spans="1:22" ht="90" customHeight="1" thickBot="1">
      <c r="A6" s="356"/>
      <c r="B6" s="13" t="s">
        <v>148</v>
      </c>
      <c r="C6" s="191">
        <f>VLOOKUP(B6,Данные!A3:Z360,26,FALSE)</f>
        <v>2003</v>
      </c>
      <c r="D6" s="343"/>
      <c r="E6" s="345"/>
      <c r="F6" s="79" t="str">
        <f>VLOOKUP($B6,Данные!$A$1:$U$1009,6,FALSE)</f>
        <v>К (концентрированная), 12 гр</v>
      </c>
      <c r="G6" s="79" t="str">
        <f>VLOOKUP($B6,Данные!$A$1:$U$1009,8,FALSE)</f>
        <v>Samsung LH351</v>
      </c>
      <c r="H6" s="79" t="str">
        <f>VLOOKUP($B6,Данные!$A$1:$U$1009,12,FALSE)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" s="79" t="str">
        <f>VLOOKUP($B6,Данные!$A$1:$U$1009,4,FALSE)</f>
        <v>176-264В AС</v>
      </c>
      <c r="J6" s="79">
        <f>VLOOKUP($B6,Данные!$A$1:$U$1009,5,FALSE)</f>
        <v>0.95</v>
      </c>
      <c r="K6" s="79" t="str">
        <f>VLOOKUP($B6,Данные!$A$1:$U$1009,13,FALSE)</f>
        <v xml:space="preserve"> -60°...+50° С</v>
      </c>
      <c r="L6" s="79" t="str">
        <f>VLOOKUP($B6,Данные!$A$1:$U$1009,14,FALSE)</f>
        <v>100 000 ч</v>
      </c>
      <c r="M6" s="79" t="str">
        <f>VLOOKUP($B6,Данные!$A$1:$U$1009,10,FALSE)</f>
        <v>548х103х154</v>
      </c>
      <c r="N6" s="79">
        <f>VLOOKUP($B6,Данные!$A$1:$U$1009,11,FALSE)</f>
        <v>0</v>
      </c>
      <c r="O6" s="28" t="str">
        <f>VLOOKUP($B6,Данные!$A$1:$U$1009,9,FALSE)</f>
        <v>-</v>
      </c>
      <c r="P6" s="25">
        <f>VLOOKUP($B6,Данные!$A$1:$U$1009,2,FALSE)</f>
        <v>79</v>
      </c>
      <c r="Q6" s="26">
        <f>VLOOKUP($B6,Данные!$A$1:$U$1009,3,FALSE)</f>
        <v>11455</v>
      </c>
      <c r="R6" s="114">
        <f t="shared" si="0"/>
        <v>145</v>
      </c>
      <c r="S6" s="38" t="str">
        <f>VLOOKUP($B6,Данные!$A$1:$U$1009,15,FALSE)</f>
        <v>5000К 4000К* 3000К*</v>
      </c>
      <c r="T6" s="38">
        <f>VLOOKUP($B6,Данные!$A$1:$U$1009,7,FALSE)</f>
        <v>67</v>
      </c>
      <c r="U6" s="110" t="str">
        <f>VLOOKUP($B6,Данные!$A$1:$U$1009,16,FALSE)</f>
        <v>5 лет</v>
      </c>
      <c r="V6" s="408">
        <v>6745</v>
      </c>
    </row>
    <row r="7" spans="1:22" ht="90" customHeight="1">
      <c r="A7" s="354"/>
      <c r="B7" s="11" t="s">
        <v>149</v>
      </c>
      <c r="C7" s="190">
        <f>VLOOKUP(B7,Данные!A4:Z361,26,FALSE)</f>
        <v>2004</v>
      </c>
      <c r="D7" s="342" t="s">
        <v>33</v>
      </c>
      <c r="E7" s="344" t="str">
        <f>CONCATENATE(CONCATENATE("КСС: К / Г / Д / Л / Ш / М, боковая, осевая (в зав. от модели) ",$G$3,": ",$G7,CHAR(10),$H$3,": ",$H7,CHAR(10),$I$3,": ",$I7,CHAR(10),$J$3,": ",$J7,CHAR(10),$K$3,": ",$K7,CHAR(10),$L$3,": ",$L7,CHAR(10)),"*Цветовая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7" s="78" t="str">
        <f>VLOOKUP($B7,Данные!$A$1:$U$1009,6,FALSE)</f>
        <v>К (концентрированная), 27 гр</v>
      </c>
      <c r="G7" s="78" t="str">
        <f>VLOOKUP($B7,Данные!$A$1:$U$1009,8,FALSE)</f>
        <v>Samsung LH351</v>
      </c>
      <c r="H7" s="78" t="str">
        <f>VLOOKUP($B7,Данные!$A$1:$U$1009,12,FALSE)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" s="78" t="str">
        <f>VLOOKUP($B7,Данные!$A$1:$U$1009,4,FALSE)</f>
        <v>176-264В AС</v>
      </c>
      <c r="J7" s="78">
        <f>VLOOKUP($B7,Данные!$A$1:$U$1009,5,FALSE)</f>
        <v>0.95</v>
      </c>
      <c r="K7" s="78" t="str">
        <f>VLOOKUP($B7,Данные!$A$1:$U$1009,13,FALSE)</f>
        <v xml:space="preserve"> -60°...+50° С</v>
      </c>
      <c r="L7" s="78" t="str">
        <f>VLOOKUP($B7,Данные!$A$1:$U$1009,14,FALSE)</f>
        <v>100 000 ч</v>
      </c>
      <c r="M7" s="78" t="str">
        <f>VLOOKUP($B7,Данные!$A$1:$U$1009,10,FALSE)</f>
        <v>224х103х154</v>
      </c>
      <c r="N7" s="78">
        <f>VLOOKUP($B7,Данные!$A$1:$U$1009,11,FALSE)</f>
        <v>0</v>
      </c>
      <c r="O7" s="24" t="str">
        <f>VLOOKUP($B7,Данные!$A$1:$U$1009,9,FALSE)</f>
        <v>-</v>
      </c>
      <c r="P7" s="21">
        <f>VLOOKUP($B7,Данные!$A$1:$U$1009,2,FALSE)</f>
        <v>27</v>
      </c>
      <c r="Q7" s="22">
        <f>VLOOKUP($B7,Данные!$A$1:$U$1009,3,FALSE)</f>
        <v>3915</v>
      </c>
      <c r="R7" s="113">
        <f t="shared" si="0"/>
        <v>145</v>
      </c>
      <c r="S7" s="37" t="str">
        <f>VLOOKUP($B7,Данные!$A$1:$U$1009,15,FALSE)</f>
        <v>5000К 4000К* 3000К*</v>
      </c>
      <c r="T7" s="37">
        <f>VLOOKUP($B7,Данные!$A$1:$U$1009,7,FALSE)</f>
        <v>67</v>
      </c>
      <c r="U7" s="108" t="str">
        <f>VLOOKUP($B7,Данные!$A$1:$U$1009,16,FALSE)</f>
        <v>5 лет</v>
      </c>
      <c r="V7" s="406">
        <v>2920</v>
      </c>
    </row>
    <row r="8" spans="1:22" ht="90" customHeight="1">
      <c r="A8" s="355"/>
      <c r="B8" s="12" t="s">
        <v>150</v>
      </c>
      <c r="C8" s="192">
        <f>VLOOKUP(B8,Данные!A5:Z362,26,FALSE)</f>
        <v>2005</v>
      </c>
      <c r="D8" s="337"/>
      <c r="E8" s="338"/>
      <c r="F8" s="81" t="str">
        <f>VLOOKUP($B8,Данные!$A$1:$U$1009,6,FALSE)</f>
        <v>К (концентрированная), 27 гр</v>
      </c>
      <c r="G8" s="81" t="str">
        <f>VLOOKUP($B8,Данные!$A$1:$U$1009,8,FALSE)</f>
        <v>Samsung LH351</v>
      </c>
      <c r="H8" s="81" t="str">
        <f>VLOOKUP($B8,Данные!$A$1:$U$1009,12,FALSE)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" s="81" t="str">
        <f>VLOOKUP($B8,Данные!$A$1:$U$1009,4,FALSE)</f>
        <v>176-264В AС</v>
      </c>
      <c r="J8" s="81">
        <f>VLOOKUP($B8,Данные!$A$1:$U$1009,5,FALSE)</f>
        <v>0.95</v>
      </c>
      <c r="K8" s="81" t="str">
        <f>VLOOKUP($B8,Данные!$A$1:$U$1009,13,FALSE)</f>
        <v xml:space="preserve"> -60°...+50° С</v>
      </c>
      <c r="L8" s="81" t="str">
        <f>VLOOKUP($B8,Данные!$A$1:$U$1009,14,FALSE)</f>
        <v>100 000 ч</v>
      </c>
      <c r="M8" s="81" t="str">
        <f>VLOOKUP($B8,Данные!$A$1:$U$1009,10,FALSE)</f>
        <v>327х103х154</v>
      </c>
      <c r="N8" s="81">
        <f>VLOOKUP($B8,Данные!$A$1:$U$1009,11,FALSE)</f>
        <v>0</v>
      </c>
      <c r="O8" s="32" t="str">
        <f>VLOOKUP($B8,Данные!$A$1:$U$1009,9,FALSE)</f>
        <v>-</v>
      </c>
      <c r="P8" s="29">
        <f>VLOOKUP($B8,Данные!$A$1:$U$1009,2,FALSE)</f>
        <v>53</v>
      </c>
      <c r="Q8" s="30">
        <f>VLOOKUP($B8,Данные!$A$1:$U$1009,3,FALSE)</f>
        <v>7685</v>
      </c>
      <c r="R8" s="269">
        <f t="shared" si="0"/>
        <v>145</v>
      </c>
      <c r="S8" s="36" t="str">
        <f>VLOOKUP($B8,Данные!$A$1:$U$1009,15,FALSE)</f>
        <v>5000К 4000К* 3000К*</v>
      </c>
      <c r="T8" s="36">
        <f>VLOOKUP($B8,Данные!$A$1:$U$1009,7,FALSE)</f>
        <v>67</v>
      </c>
      <c r="U8" s="109" t="str">
        <f>VLOOKUP($B8,Данные!$A$1:$U$1009,16,FALSE)</f>
        <v>5 лет</v>
      </c>
      <c r="V8" s="407">
        <v>4585</v>
      </c>
    </row>
    <row r="9" spans="1:22" ht="90" customHeight="1" thickBot="1">
      <c r="A9" s="356"/>
      <c r="B9" s="13" t="s">
        <v>151</v>
      </c>
      <c r="C9" s="191">
        <f>VLOOKUP(B9,Данные!A6:Z363,26,FALSE)</f>
        <v>2006</v>
      </c>
      <c r="D9" s="343"/>
      <c r="E9" s="345"/>
      <c r="F9" s="79" t="str">
        <f>VLOOKUP($B9,Данные!$A$1:$U$1009,6,FALSE)</f>
        <v>К (концентрированная), 27 гр</v>
      </c>
      <c r="G9" s="79" t="str">
        <f>VLOOKUP($B9,Данные!$A$1:$U$1009,8,FALSE)</f>
        <v>Samsung LH351</v>
      </c>
      <c r="H9" s="79" t="str">
        <f>VLOOKUP($B9,Данные!$A$1:$U$1009,12,FALSE)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9" s="79" t="str">
        <f>VLOOKUP($B9,Данные!$A$1:$U$1009,4,FALSE)</f>
        <v>176-264В AС</v>
      </c>
      <c r="J9" s="79">
        <f>VLOOKUP($B9,Данные!$A$1:$U$1009,5,FALSE)</f>
        <v>0.95</v>
      </c>
      <c r="K9" s="79" t="str">
        <f>VLOOKUP($B9,Данные!$A$1:$U$1009,13,FALSE)</f>
        <v xml:space="preserve"> -60°...+50° С</v>
      </c>
      <c r="L9" s="79" t="str">
        <f>VLOOKUP($B9,Данные!$A$1:$U$1009,14,FALSE)</f>
        <v>100 000 ч</v>
      </c>
      <c r="M9" s="79" t="str">
        <f>VLOOKUP($B9,Данные!$A$1:$U$1009,10,FALSE)</f>
        <v>548х103х154</v>
      </c>
      <c r="N9" s="79">
        <f>VLOOKUP($B9,Данные!$A$1:$U$1009,11,FALSE)</f>
        <v>0</v>
      </c>
      <c r="O9" s="28" t="str">
        <f>VLOOKUP($B9,Данные!$A$1:$U$1009,9,FALSE)</f>
        <v>-</v>
      </c>
      <c r="P9" s="25">
        <f>VLOOKUP($B9,Данные!$A$1:$U$1009,2,FALSE)</f>
        <v>79</v>
      </c>
      <c r="Q9" s="26">
        <f>VLOOKUP($B9,Данные!$A$1:$U$1009,3,FALSE)</f>
        <v>11455</v>
      </c>
      <c r="R9" s="114">
        <f t="shared" si="0"/>
        <v>145</v>
      </c>
      <c r="S9" s="38" t="str">
        <f>VLOOKUP($B9,Данные!$A$1:$U$1009,15,FALSE)</f>
        <v>5000К 4000К* 3000К*</v>
      </c>
      <c r="T9" s="38">
        <f>VLOOKUP($B9,Данные!$A$1:$U$1009,7,FALSE)</f>
        <v>67</v>
      </c>
      <c r="U9" s="110" t="str">
        <f>VLOOKUP($B9,Данные!$A$1:$U$1009,16,FALSE)</f>
        <v>5 лет</v>
      </c>
      <c r="V9" s="408">
        <v>6745</v>
      </c>
    </row>
    <row r="10" spans="1:22" ht="90" customHeight="1">
      <c r="A10" s="354"/>
      <c r="B10" s="11" t="s">
        <v>152</v>
      </c>
      <c r="C10" s="190">
        <f>VLOOKUP(B10,Данные!A7:Z364,26,FALSE)</f>
        <v>2007</v>
      </c>
      <c r="D10" s="342" t="s">
        <v>33</v>
      </c>
      <c r="E10" s="344" t="str">
        <f>CONCATENATE(CONCATENATE("КСС: К / Г / Д / Л / Ш / М, боковая, осевая (в зав. от модели) ",$G$3,": ",$G10,CHAR(10),$H$3,": ",$H10,CHAR(10),$I$3,": ",$I10,CHAR(10),$J$3,": ",$J10,CHAR(10),$K$3,": ",$K10,CHAR(10),$L$3,": ",$L10,CHAR(10)),"*Цветовая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0" s="78" t="str">
        <f>VLOOKUP($B10,Данные!$A$1:$U$1009,6,FALSE)</f>
        <v>Г (глубокая), 58 гр</v>
      </c>
      <c r="G10" s="78" t="str">
        <f>VLOOKUP($B10,Данные!$A$1:$U$1009,8,FALSE)</f>
        <v>Samsung LH351</v>
      </c>
      <c r="H10" s="78" t="str">
        <f>VLOOKUP($B10,Данные!$A$1:$U$1009,12,FALSE)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0" s="78" t="str">
        <f>VLOOKUP($B10,Данные!$A$1:$U$1009,4,FALSE)</f>
        <v>176-264В AС</v>
      </c>
      <c r="J10" s="78">
        <f>VLOOKUP($B10,Данные!$A$1:$U$1009,5,FALSE)</f>
        <v>0.95</v>
      </c>
      <c r="K10" s="78" t="str">
        <f>VLOOKUP($B10,Данные!$A$1:$U$1009,13,FALSE)</f>
        <v xml:space="preserve"> -60°...+50° С</v>
      </c>
      <c r="L10" s="78" t="str">
        <f>VLOOKUP($B10,Данные!$A$1:$U$1009,14,FALSE)</f>
        <v>100 000 ч</v>
      </c>
      <c r="M10" s="78" t="str">
        <f>VLOOKUP($B10,Данные!$A$1:$U$1009,10,FALSE)</f>
        <v>224х103х154</v>
      </c>
      <c r="N10" s="78">
        <f>VLOOKUP($B10,Данные!$A$1:$U$1009,11,FALSE)</f>
        <v>0</v>
      </c>
      <c r="O10" s="24" t="str">
        <f>VLOOKUP($B10,Данные!$A$1:$U$1009,9,FALSE)</f>
        <v>-</v>
      </c>
      <c r="P10" s="21">
        <f>VLOOKUP($B10,Данные!$A$1:$U$1009,2,FALSE)</f>
        <v>27</v>
      </c>
      <c r="Q10" s="22">
        <f>VLOOKUP($B10,Данные!$A$1:$U$1009,3,FALSE)</f>
        <v>3915</v>
      </c>
      <c r="R10" s="113">
        <f t="shared" si="0"/>
        <v>145</v>
      </c>
      <c r="S10" s="37" t="str">
        <f>VLOOKUP($B10,Данные!$A$1:$U$1009,15,FALSE)</f>
        <v>5000К 4000К* 3000К*</v>
      </c>
      <c r="T10" s="37">
        <f>VLOOKUP($B10,Данные!$A$1:$U$1009,7,FALSE)</f>
        <v>67</v>
      </c>
      <c r="U10" s="108" t="str">
        <f>VLOOKUP($B10,Данные!$A$1:$U$1009,16,FALSE)</f>
        <v>5 лет</v>
      </c>
      <c r="V10" s="406">
        <v>2920</v>
      </c>
    </row>
    <row r="11" spans="1:22" ht="90" customHeight="1">
      <c r="A11" s="355"/>
      <c r="B11" s="12" t="s">
        <v>153</v>
      </c>
      <c r="C11" s="192">
        <f>VLOOKUP(B11,Данные!A8:Z365,26,FALSE)</f>
        <v>2008</v>
      </c>
      <c r="D11" s="337"/>
      <c r="E11" s="338"/>
      <c r="F11" s="81" t="str">
        <f>VLOOKUP($B11,Данные!$A$1:$U$1009,6,FALSE)</f>
        <v>Г (глубокая), 58 гр</v>
      </c>
      <c r="G11" s="81" t="str">
        <f>VLOOKUP($B11,Данные!$A$1:$U$1009,8,FALSE)</f>
        <v>Samsung LH351</v>
      </c>
      <c r="H11" s="81" t="str">
        <f>VLOOKUP($B11,Данные!$A$1:$U$1009,12,FALSE)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1" s="81" t="str">
        <f>VLOOKUP($B11,Данные!$A$1:$U$1009,4,FALSE)</f>
        <v>176-264В AС</v>
      </c>
      <c r="J11" s="81">
        <f>VLOOKUP($B11,Данные!$A$1:$U$1009,5,FALSE)</f>
        <v>0.95</v>
      </c>
      <c r="K11" s="81" t="str">
        <f>VLOOKUP($B11,Данные!$A$1:$U$1009,13,FALSE)</f>
        <v xml:space="preserve"> -60°...+50° С</v>
      </c>
      <c r="L11" s="81" t="str">
        <f>VLOOKUP($B11,Данные!$A$1:$U$1009,14,FALSE)</f>
        <v>100 000 ч</v>
      </c>
      <c r="M11" s="81" t="str">
        <f>VLOOKUP($B11,Данные!$A$1:$U$1009,10,FALSE)</f>
        <v>374х103х154</v>
      </c>
      <c r="N11" s="81">
        <f>VLOOKUP($B11,Данные!$A$1:$U$1009,11,FALSE)</f>
        <v>0</v>
      </c>
      <c r="O11" s="32" t="str">
        <f>VLOOKUP($B11,Данные!$A$1:$U$1009,9,FALSE)</f>
        <v>-</v>
      </c>
      <c r="P11" s="29">
        <f>VLOOKUP($B11,Данные!$A$1:$U$1009,2,FALSE)</f>
        <v>53</v>
      </c>
      <c r="Q11" s="30">
        <f>VLOOKUP($B11,Данные!$A$1:$U$1009,3,FALSE)</f>
        <v>7685</v>
      </c>
      <c r="R11" s="269">
        <f t="shared" si="0"/>
        <v>145</v>
      </c>
      <c r="S11" s="36" t="str">
        <f>VLOOKUP($B11,Данные!$A$1:$U$1009,15,FALSE)</f>
        <v>5000К 4000К* 3000К*</v>
      </c>
      <c r="T11" s="36">
        <f>VLOOKUP($B11,Данные!$A$1:$U$1009,7,FALSE)</f>
        <v>67</v>
      </c>
      <c r="U11" s="109" t="str">
        <f>VLOOKUP($B11,Данные!$A$1:$U$1009,16,FALSE)</f>
        <v>5 лет</v>
      </c>
      <c r="V11" s="407">
        <v>4585</v>
      </c>
    </row>
    <row r="12" spans="1:22" ht="90" customHeight="1" thickBot="1">
      <c r="A12" s="356"/>
      <c r="B12" s="13" t="s">
        <v>154</v>
      </c>
      <c r="C12" s="191">
        <f>VLOOKUP(B12,Данные!A9:Z366,26,FALSE)</f>
        <v>2009</v>
      </c>
      <c r="D12" s="343"/>
      <c r="E12" s="345"/>
      <c r="F12" s="79" t="str">
        <f>VLOOKUP($B12,Данные!$A$1:$U$1009,6,FALSE)</f>
        <v>Г (глубокая), 58 гр</v>
      </c>
      <c r="G12" s="79" t="str">
        <f>VLOOKUP($B12,Данные!$A$1:$U$1009,8,FALSE)</f>
        <v>Samsung LH351</v>
      </c>
      <c r="H12" s="79" t="str">
        <f>VLOOKUP($B12,Данные!$A$1:$U$1009,12,FALSE)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2" s="79" t="str">
        <f>VLOOKUP($B12,Данные!$A$1:$U$1009,4,FALSE)</f>
        <v>176-264В AС</v>
      </c>
      <c r="J12" s="79">
        <f>VLOOKUP($B12,Данные!$A$1:$U$1009,5,FALSE)</f>
        <v>0.95</v>
      </c>
      <c r="K12" s="79" t="str">
        <f>VLOOKUP($B12,Данные!$A$1:$U$1009,13,FALSE)</f>
        <v xml:space="preserve"> -60°...+50° С</v>
      </c>
      <c r="L12" s="79" t="str">
        <f>VLOOKUP($B12,Данные!$A$1:$U$1009,14,FALSE)</f>
        <v>100 000 ч</v>
      </c>
      <c r="M12" s="79" t="str">
        <f>VLOOKUP($B12,Данные!$A$1:$U$1009,10,FALSE)</f>
        <v>548х103х154</v>
      </c>
      <c r="N12" s="79">
        <f>VLOOKUP($B12,Данные!$A$1:$U$1009,11,FALSE)</f>
        <v>0</v>
      </c>
      <c r="O12" s="28" t="str">
        <f>VLOOKUP($B12,Данные!$A$1:$U$1009,9,FALSE)</f>
        <v>-</v>
      </c>
      <c r="P12" s="25">
        <f>VLOOKUP($B12,Данные!$A$1:$U$1009,2,FALSE)</f>
        <v>79</v>
      </c>
      <c r="Q12" s="26">
        <f>VLOOKUP($B12,Данные!$A$1:$U$1009,3,FALSE)</f>
        <v>11455</v>
      </c>
      <c r="R12" s="114">
        <f t="shared" si="0"/>
        <v>145</v>
      </c>
      <c r="S12" s="38" t="str">
        <f>VLOOKUP($B12,Данные!$A$1:$U$1009,15,FALSE)</f>
        <v>5000К 4000К* 3000К*</v>
      </c>
      <c r="T12" s="38">
        <f>VLOOKUP($B12,Данные!$A$1:$U$1009,7,FALSE)</f>
        <v>67</v>
      </c>
      <c r="U12" s="110" t="str">
        <f>VLOOKUP($B12,Данные!$A$1:$U$1009,16,FALSE)</f>
        <v>5 лет</v>
      </c>
      <c r="V12" s="408">
        <v>6745</v>
      </c>
    </row>
    <row r="13" spans="1:22" ht="90" customHeight="1">
      <c r="A13" s="349"/>
      <c r="B13" s="11" t="s">
        <v>155</v>
      </c>
      <c r="C13" s="190">
        <f>VLOOKUP(B13,Данные!A7:Z364,26,FALSE)</f>
        <v>2010</v>
      </c>
      <c r="D13" s="342" t="s">
        <v>33</v>
      </c>
      <c r="E13" s="344" t="str">
        <f>CONCATENATE(CONCATENATE("КСС: К / Г / Д / Л / Ш / М, боковая, осевая (в зав. от модели) ",$G$3,": ",$G13,CHAR(10),$H$3,": ",$H13,CHAR(10),$I$3,": ",$I13,CHAR(10),$J$3,": ",$J13,CHAR(10),$K$3,": ",$K13,CHAR(10),$L$3,": ",$L13,CHAR(10)),"*Цветовая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3" s="205" t="str">
        <f>VLOOKUP($B13,Данные!$A$1:$U$1009,6,FALSE)</f>
        <v>Л (полуширокая), 100 гр</v>
      </c>
      <c r="G13" s="205" t="str">
        <f>VLOOKUP($B13,Данные!$A$1:$U$1009,8,FALSE)</f>
        <v>Samsung LH351</v>
      </c>
      <c r="H13" s="205" t="str">
        <f>VLOOKUP($B13,Данные!$A$1:$U$1009,12,FALSE)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3" s="205" t="str">
        <f>VLOOKUP($B13,Данные!$A$1:$U$1009,4,FALSE)</f>
        <v>176-264В AС</v>
      </c>
      <c r="J13" s="205">
        <f>VLOOKUP($B13,Данные!$A$1:$U$1009,5,FALSE)</f>
        <v>0.95</v>
      </c>
      <c r="K13" s="205" t="str">
        <f>VLOOKUP($B13,Данные!$A$1:$U$1009,13,FALSE)</f>
        <v xml:space="preserve"> -60°...+50° С</v>
      </c>
      <c r="L13" s="205" t="str">
        <f>VLOOKUP($B13,Данные!$A$1:$U$1009,14,FALSE)</f>
        <v>100 000 ч</v>
      </c>
      <c r="M13" s="205" t="str">
        <f>VLOOKUP($B13,Данные!$A$1:$U$1009,10,FALSE)</f>
        <v>224х103х154</v>
      </c>
      <c r="N13" s="205">
        <f>VLOOKUP($B13,Данные!$A$1:$U$1009,11,FALSE)</f>
        <v>0</v>
      </c>
      <c r="O13" s="24" t="str">
        <f>VLOOKUP($B13,Данные!$A$1:$U$1009,9,FALSE)</f>
        <v>-</v>
      </c>
      <c r="P13" s="21">
        <f>VLOOKUP($B13,Данные!$A$1:$U$1009,2,FALSE)</f>
        <v>27</v>
      </c>
      <c r="Q13" s="22">
        <f>VLOOKUP($B13,Данные!$A$1:$U$1009,3,FALSE)</f>
        <v>3915</v>
      </c>
      <c r="R13" s="113">
        <f t="shared" ref="R13:R16" si="1">Q13/P13</f>
        <v>145</v>
      </c>
      <c r="S13" s="37" t="str">
        <f>VLOOKUP($B13,Данные!$A$1:$U$1009,15,FALSE)</f>
        <v>5000К 4000К* 3000К*</v>
      </c>
      <c r="T13" s="37">
        <f>VLOOKUP($B13,Данные!$A$1:$U$1009,7,FALSE)</f>
        <v>67</v>
      </c>
      <c r="U13" s="108" t="str">
        <f>VLOOKUP($B13,Данные!$A$1:$U$1009,16,FALSE)</f>
        <v>5 лет</v>
      </c>
      <c r="V13" s="406">
        <v>2920</v>
      </c>
    </row>
    <row r="14" spans="1:22" ht="90" customHeight="1">
      <c r="A14" s="350"/>
      <c r="B14" s="12" t="s">
        <v>156</v>
      </c>
      <c r="C14" s="192">
        <f>VLOOKUP(B14,Данные!A8:Z365,26,FALSE)</f>
        <v>2011</v>
      </c>
      <c r="D14" s="337"/>
      <c r="E14" s="338"/>
      <c r="F14" s="206" t="str">
        <f>VLOOKUP($B14,Данные!$A$1:$U$1009,6,FALSE)</f>
        <v>Л (полуширокая), 100 гр</v>
      </c>
      <c r="G14" s="206" t="str">
        <f>VLOOKUP($B14,Данные!$A$1:$U$1009,8,FALSE)</f>
        <v>Samsung LH351</v>
      </c>
      <c r="H14" s="206" t="str">
        <f>VLOOKUP($B14,Данные!$A$1:$U$1009,12,FALSE)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4" s="206" t="str">
        <f>VLOOKUP($B14,Данные!$A$1:$U$1009,4,FALSE)</f>
        <v>176-264В AС</v>
      </c>
      <c r="J14" s="206">
        <f>VLOOKUP($B14,Данные!$A$1:$U$1009,5,FALSE)</f>
        <v>0.95</v>
      </c>
      <c r="K14" s="206" t="str">
        <f>VLOOKUP($B14,Данные!$A$1:$U$1009,13,FALSE)</f>
        <v xml:space="preserve"> -60°...+50° С</v>
      </c>
      <c r="L14" s="206" t="str">
        <f>VLOOKUP($B14,Данные!$A$1:$U$1009,14,FALSE)</f>
        <v>100 000 ч</v>
      </c>
      <c r="M14" s="206" t="str">
        <f>VLOOKUP($B14,Данные!$A$1:$U$1009,10,FALSE)</f>
        <v>374х103х154</v>
      </c>
      <c r="N14" s="206">
        <f>VLOOKUP($B14,Данные!$A$1:$U$1009,11,FALSE)</f>
        <v>0</v>
      </c>
      <c r="O14" s="209" t="str">
        <f>VLOOKUP($B14,Данные!$A$1:$U$1009,9,FALSE)</f>
        <v>-</v>
      </c>
      <c r="P14" s="29">
        <f>VLOOKUP($B14,Данные!$A$1:$U$1009,2,FALSE)</f>
        <v>53</v>
      </c>
      <c r="Q14" s="30">
        <f>VLOOKUP($B14,Данные!$A$1:$U$1009,3,FALSE)</f>
        <v>7685</v>
      </c>
      <c r="R14" s="269">
        <f t="shared" si="1"/>
        <v>145</v>
      </c>
      <c r="S14" s="36" t="str">
        <f>VLOOKUP($B14,Данные!$A$1:$U$1009,15,FALSE)</f>
        <v>5000К 4000К* 3000К*</v>
      </c>
      <c r="T14" s="36">
        <f>VLOOKUP($B14,Данные!$A$1:$U$1009,7,FALSE)</f>
        <v>67</v>
      </c>
      <c r="U14" s="109" t="str">
        <f>VLOOKUP($B14,Данные!$A$1:$U$1009,16,FALSE)</f>
        <v>5 лет</v>
      </c>
      <c r="V14" s="407">
        <v>4585</v>
      </c>
    </row>
    <row r="15" spans="1:22" ht="90" customHeight="1" thickBot="1">
      <c r="A15" s="351"/>
      <c r="B15" s="13" t="s">
        <v>157</v>
      </c>
      <c r="C15" s="191">
        <f>VLOOKUP(B15,Данные!A9:Z366,26,FALSE)</f>
        <v>2012</v>
      </c>
      <c r="D15" s="343"/>
      <c r="E15" s="345"/>
      <c r="F15" s="207" t="str">
        <f>VLOOKUP($B15,Данные!$A$1:$U$1009,6,FALSE)</f>
        <v>Л (полуширокая), 100 гр</v>
      </c>
      <c r="G15" s="207" t="str">
        <f>VLOOKUP($B15,Данные!$A$1:$U$1009,8,FALSE)</f>
        <v>Samsung LH351</v>
      </c>
      <c r="H15" s="207" t="str">
        <f>VLOOKUP($B15,Данные!$A$1:$U$1009,12,FALSE)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5" s="207" t="str">
        <f>VLOOKUP($B15,Данные!$A$1:$U$1009,4,FALSE)</f>
        <v>176-264В AС</v>
      </c>
      <c r="J15" s="207">
        <f>VLOOKUP($B15,Данные!$A$1:$U$1009,5,FALSE)</f>
        <v>0.95</v>
      </c>
      <c r="K15" s="207" t="str">
        <f>VLOOKUP($B15,Данные!$A$1:$U$1009,13,FALSE)</f>
        <v xml:space="preserve"> -60°...+50° С</v>
      </c>
      <c r="L15" s="207" t="str">
        <f>VLOOKUP($B15,Данные!$A$1:$U$1009,14,FALSE)</f>
        <v>100 000 ч</v>
      </c>
      <c r="M15" s="207" t="str">
        <f>VLOOKUP($B15,Данные!$A$1:$U$1009,10,FALSE)</f>
        <v>548х103х154</v>
      </c>
      <c r="N15" s="207">
        <f>VLOOKUP($B15,Данные!$A$1:$U$1009,11,FALSE)</f>
        <v>0</v>
      </c>
      <c r="O15" s="210" t="str">
        <f>VLOOKUP($B15,Данные!$A$1:$U$1009,9,FALSE)</f>
        <v>-</v>
      </c>
      <c r="P15" s="25">
        <f>VLOOKUP($B15,Данные!$A$1:$U$1009,2,FALSE)</f>
        <v>79</v>
      </c>
      <c r="Q15" s="26">
        <f>VLOOKUP($B15,Данные!$A$1:$U$1009,3,FALSE)</f>
        <v>11455</v>
      </c>
      <c r="R15" s="114">
        <f t="shared" si="1"/>
        <v>145</v>
      </c>
      <c r="S15" s="38" t="str">
        <f>VLOOKUP($B15,Данные!$A$1:$U$1009,15,FALSE)</f>
        <v>5000К 4000К* 3000К*</v>
      </c>
      <c r="T15" s="38">
        <f>VLOOKUP($B15,Данные!$A$1:$U$1009,7,FALSE)</f>
        <v>67</v>
      </c>
      <c r="U15" s="110" t="str">
        <f>VLOOKUP($B15,Данные!$A$1:$U$1009,16,FALSE)</f>
        <v>5 лет</v>
      </c>
      <c r="V15" s="408">
        <v>6745</v>
      </c>
    </row>
    <row r="16" spans="1:22" ht="270" customHeight="1" thickBot="1">
      <c r="A16" s="282"/>
      <c r="B16" s="11" t="s">
        <v>553</v>
      </c>
      <c r="C16" s="213">
        <f>VLOOKUP(B16,Данные!A9:Z366,26,FALSE)</f>
        <v>2073</v>
      </c>
      <c r="D16" s="281" t="s">
        <v>33</v>
      </c>
      <c r="E16" s="280" t="str">
        <f>CONCATENATE(CONCATENATE("КСС: К / Г / Д / Л / Ш / М, боковая, осевая (в зав. от модели) ",$G$3,": ",$G16,CHAR(10),$H$3,": ",$H16,CHAR(10),$I$3,": ",$I16,CHAR(10),$J$3,": ",$J16,CHAR(10),$K$3,": ",$K16,CHAR(10),$L$3,": ",$L16,CHAR(10)),"*Цветовая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6" s="280" t="str">
        <f>VLOOKUP($B16,Данные!$A$1:$U$1009,6,FALSE)</f>
        <v>Г (глубокая), 58 гр</v>
      </c>
      <c r="G16" s="280" t="str">
        <f>VLOOKUP($B16,Данные!$A$1:$U$1009,8,FALSE)</f>
        <v>Samsung LH351</v>
      </c>
      <c r="H16" s="280" t="str">
        <f>VLOOKUP($B16,Данные!$A$1:$U$1009,12,FALSE)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6" s="280" t="str">
        <f>VLOOKUP($B16,Данные!$A$1:$U$1009,4,FALSE)</f>
        <v>176-264В AС</v>
      </c>
      <c r="J16" s="280">
        <f>VLOOKUP($B16,Данные!$A$1:$U$1009,5,FALSE)</f>
        <v>0.95</v>
      </c>
      <c r="K16" s="280" t="str">
        <f>VLOOKUP($B16,Данные!$A$1:$U$1009,13,FALSE)</f>
        <v xml:space="preserve"> -60°...+50° С</v>
      </c>
      <c r="L16" s="280" t="str">
        <f>VLOOKUP($B16,Данные!$A$1:$U$1009,14,FALSE)</f>
        <v>100 000 ч</v>
      </c>
      <c r="M16" s="280" t="str">
        <f>VLOOKUP($B16,Данные!$A$1:$U$1009,10,FALSE)</f>
        <v>800х103х154</v>
      </c>
      <c r="N16" s="280">
        <f>VLOOKUP($B16,Данные!$A$1:$U$1009,11,FALSE)</f>
        <v>0</v>
      </c>
      <c r="O16" s="24" t="str">
        <f>VLOOKUP($B16,Данные!$A$1:$U$1009,9,FALSE)</f>
        <v>-</v>
      </c>
      <c r="P16" s="21">
        <f>VLOOKUP($B16,Данные!$A$1:$U$1009,2,FALSE)</f>
        <v>115</v>
      </c>
      <c r="Q16" s="22">
        <f>VLOOKUP($B16,Данные!$A$1:$U$1009,3,FALSE)</f>
        <v>16675</v>
      </c>
      <c r="R16" s="113">
        <f t="shared" si="1"/>
        <v>145</v>
      </c>
      <c r="S16" s="37" t="str">
        <f>VLOOKUP($B16,Данные!$A$1:$U$1009,15,FALSE)</f>
        <v>5000К 4000К* 3000К*</v>
      </c>
      <c r="T16" s="37">
        <f>VLOOKUP($B16,Данные!$A$1:$U$1009,7,FALSE)</f>
        <v>67</v>
      </c>
      <c r="U16" s="108" t="str">
        <f>VLOOKUP($B16,Данные!$A$1:$U$1009,16,FALSE)</f>
        <v>5 лет</v>
      </c>
      <c r="V16" s="406">
        <v>9105</v>
      </c>
    </row>
    <row r="17" spans="1:22" ht="270" customHeight="1" thickBot="1">
      <c r="A17" s="211"/>
      <c r="B17" s="11" t="s">
        <v>415</v>
      </c>
      <c r="C17" s="213">
        <f>VLOOKUP(B17,Данные!A10:Z367,26,FALSE)</f>
        <v>2074</v>
      </c>
      <c r="D17" s="208" t="s">
        <v>33</v>
      </c>
      <c r="E17" s="205" t="str">
        <f>CONCATENATE(CONCATENATE("КСС: К / Г / Д / Л / Ш / М, боковая, осевая (в зав. от модели) ",$G$3,": ",$G17,CHAR(10),$H$3,": ",$H17,CHAR(10),$I$3,": ",$I17,CHAR(10),$J$3,": ",$J17,CHAR(10),$K$3,": ",$K17,CHAR(10),$L$3,": ",$L17,CHAR(10)),"*Цветовая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7" s="78" t="str">
        <f>VLOOKUP($B17,Данные!$A$1:$U$1009,6,FALSE)</f>
        <v>Г (глубокая), 58 гр</v>
      </c>
      <c r="G17" s="78" t="str">
        <f>VLOOKUP($B17,Данные!$A$1:$U$1009,8,FALSE)</f>
        <v>Samsung LH351</v>
      </c>
      <c r="H17" s="78" t="str">
        <f>VLOOKUP($B17,Данные!$A$1:$U$1009,12,FALSE)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7" s="78" t="str">
        <f>VLOOKUP($B17,Данные!$A$1:$U$1009,4,FALSE)</f>
        <v>176-264В AС</v>
      </c>
      <c r="J17" s="78">
        <f>VLOOKUP($B17,Данные!$A$1:$U$1009,5,FALSE)</f>
        <v>0.95</v>
      </c>
      <c r="K17" s="78" t="str">
        <f>VLOOKUP($B17,Данные!$A$1:$U$1009,13,FALSE)</f>
        <v xml:space="preserve"> -60°...+50° С</v>
      </c>
      <c r="L17" s="78" t="str">
        <f>VLOOKUP($B17,Данные!$A$1:$U$1009,14,FALSE)</f>
        <v>100 000 ч</v>
      </c>
      <c r="M17" s="78" t="str">
        <f>VLOOKUP($B17,Данные!$A$1:$U$1009,10,FALSE)</f>
        <v>1024х103х154</v>
      </c>
      <c r="N17" s="78">
        <f>VLOOKUP($B17,Данные!$A$1:$U$1009,11,FALSE)</f>
        <v>0</v>
      </c>
      <c r="O17" s="24" t="str">
        <f>VLOOKUP($B17,Данные!$A$1:$U$1009,9,FALSE)</f>
        <v>-</v>
      </c>
      <c r="P17" s="21">
        <f>VLOOKUP($B17,Данные!$A$1:$U$1009,2,FALSE)</f>
        <v>145</v>
      </c>
      <c r="Q17" s="22">
        <f>VLOOKUP($B17,Данные!$A$1:$U$1009,3,FALSE)</f>
        <v>21025</v>
      </c>
      <c r="R17" s="113">
        <f t="shared" si="0"/>
        <v>145</v>
      </c>
      <c r="S17" s="37" t="str">
        <f>VLOOKUP($B17,Данные!$A$1:$U$1009,15,FALSE)</f>
        <v>5000К 4000К* 3000К*</v>
      </c>
      <c r="T17" s="37">
        <f>VLOOKUP($B17,Данные!$A$1:$U$1009,7,FALSE)</f>
        <v>67</v>
      </c>
      <c r="U17" s="108" t="str">
        <f>VLOOKUP($B17,Данные!$A$1:$U$1009,16,FALSE)</f>
        <v>5 лет</v>
      </c>
      <c r="V17" s="406">
        <v>11010</v>
      </c>
    </row>
    <row r="18" spans="1:22" ht="90" customHeight="1">
      <c r="A18" s="354"/>
      <c r="B18" s="11" t="s">
        <v>182</v>
      </c>
      <c r="C18" s="190">
        <f>VLOOKUP(B18,Данные!A13:Z370,26,FALSE)</f>
        <v>2037</v>
      </c>
      <c r="D18" s="342" t="s">
        <v>33</v>
      </c>
      <c r="E18" s="344" t="str">
        <f>CONCATENATE(CONCATENATE("КСС: К / Г / Д / Л / Ш / М, боковая, осевая (в зав. от модели) ",$G$3,": ",$G18,CHAR(10),$H$3,": ",$H18,CHAR(10),$I$3,": ",$I18,CHAR(10),$J$3,": ",$J18,CHAR(10),$K$3,": ",$K18,CHAR(10),$L$3,": ",$L18,CHAR(10)),"*Цветовая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8" s="78" t="str">
        <f>VLOOKUP($B18,Данные!$A$1:$U$1009,6,FALSE)</f>
        <v>К (концентрированная), 12 гр</v>
      </c>
      <c r="G18" s="78" t="str">
        <f>VLOOKUP($B18,Данные!$A$1:$U$1009,8,FALSE)</f>
        <v>Samsung LH351</v>
      </c>
      <c r="H18" s="78" t="str">
        <f>VLOOKUP($B18,Данные!$A$1:$U$1009,12,FALSE)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8" s="78" t="str">
        <f>VLOOKUP($B18,Данные!$A$1:$U$1009,4,FALSE)</f>
        <v>176-264В AС</v>
      </c>
      <c r="J18" s="78">
        <f>VLOOKUP($B18,Данные!$A$1:$U$1009,5,FALSE)</f>
        <v>0.95</v>
      </c>
      <c r="K18" s="78" t="str">
        <f>VLOOKUP($B18,Данные!$A$1:$U$1009,13,FALSE)</f>
        <v xml:space="preserve"> -60°...+50° С</v>
      </c>
      <c r="L18" s="78" t="str">
        <f>VLOOKUP($B18,Данные!$A$1:$U$1009,14,FALSE)</f>
        <v>100 000 ч</v>
      </c>
      <c r="M18" s="78" t="str">
        <f>VLOOKUP($B18,Данные!$A$1:$U$1009,10,FALSE)</f>
        <v>224х100х133</v>
      </c>
      <c r="N18" s="78">
        <f>VLOOKUP($B18,Данные!$A$1:$U$1009,11,FALSE)</f>
        <v>0</v>
      </c>
      <c r="O18" s="24" t="str">
        <f>VLOOKUP($B18,Данные!$A$1:$U$1009,9,FALSE)</f>
        <v>-</v>
      </c>
      <c r="P18" s="21">
        <f>VLOOKUP($B18,Данные!$A$1:$U$1009,2,FALSE)</f>
        <v>27</v>
      </c>
      <c r="Q18" s="22">
        <f>VLOOKUP($B18,Данные!$A$1:$U$1009,3,FALSE)</f>
        <v>3915</v>
      </c>
      <c r="R18" s="113">
        <f t="shared" si="0"/>
        <v>145</v>
      </c>
      <c r="S18" s="37" t="str">
        <f>VLOOKUP($B18,Данные!$A$1:$U$1009,15,FALSE)</f>
        <v>5000К 4000К* 3000К*</v>
      </c>
      <c r="T18" s="37">
        <f>VLOOKUP($B18,Данные!$A$1:$U$1009,7,FALSE)</f>
        <v>67</v>
      </c>
      <c r="U18" s="108" t="str">
        <f>VLOOKUP($B18,Данные!$A$1:$U$1009,16,FALSE)</f>
        <v>5 лет</v>
      </c>
      <c r="V18" s="406">
        <v>2920</v>
      </c>
    </row>
    <row r="19" spans="1:22" ht="90" customHeight="1">
      <c r="A19" s="355"/>
      <c r="B19" s="12" t="s">
        <v>183</v>
      </c>
      <c r="C19" s="192">
        <f>VLOOKUP(B19,Данные!A14:Z371,26,FALSE)</f>
        <v>2038</v>
      </c>
      <c r="D19" s="337"/>
      <c r="E19" s="338"/>
      <c r="F19" s="81" t="str">
        <f>VLOOKUP($B19,Данные!$A$1:$U$1009,6,FALSE)</f>
        <v>К (концентрированная), 12 гр</v>
      </c>
      <c r="G19" s="81" t="str">
        <f>VLOOKUP($B19,Данные!$A$1:$U$1009,8,FALSE)</f>
        <v>Samsung LH351</v>
      </c>
      <c r="H19" s="81" t="str">
        <f>VLOOKUP($B19,Данные!$A$1:$U$1009,12,FALSE)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9" s="81" t="str">
        <f>VLOOKUP($B19,Данные!$A$1:$U$1009,4,FALSE)</f>
        <v>176-264В AС</v>
      </c>
      <c r="J19" s="81">
        <f>VLOOKUP($B19,Данные!$A$1:$U$1009,5,FALSE)</f>
        <v>0.95</v>
      </c>
      <c r="K19" s="81" t="str">
        <f>VLOOKUP($B19,Данные!$A$1:$U$1009,13,FALSE)</f>
        <v xml:space="preserve"> -60°...+50° С</v>
      </c>
      <c r="L19" s="81" t="str">
        <f>VLOOKUP($B19,Данные!$A$1:$U$1009,14,FALSE)</f>
        <v>100 000 ч</v>
      </c>
      <c r="M19" s="81" t="str">
        <f>VLOOKUP($B19,Данные!$A$1:$U$1009,10,FALSE)</f>
        <v>374х100х133</v>
      </c>
      <c r="N19" s="81">
        <f>VLOOKUP($B19,Данные!$A$1:$U$1009,11,FALSE)</f>
        <v>0</v>
      </c>
      <c r="O19" s="32" t="str">
        <f>VLOOKUP($B19,Данные!$A$1:$U$1009,9,FALSE)</f>
        <v>-</v>
      </c>
      <c r="P19" s="29">
        <f>VLOOKUP($B19,Данные!$A$1:$U$1009,2,FALSE)</f>
        <v>53</v>
      </c>
      <c r="Q19" s="30">
        <f>VLOOKUP($B19,Данные!$A$1:$U$1009,3,FALSE)</f>
        <v>7685</v>
      </c>
      <c r="R19" s="269">
        <f t="shared" si="0"/>
        <v>145</v>
      </c>
      <c r="S19" s="36" t="str">
        <f>VLOOKUP($B19,Данные!$A$1:$U$1009,15,FALSE)</f>
        <v>5000К 4000К* 3000К*</v>
      </c>
      <c r="T19" s="36">
        <f>VLOOKUP($B19,Данные!$A$1:$U$1009,7,FALSE)</f>
        <v>67</v>
      </c>
      <c r="U19" s="109" t="str">
        <f>VLOOKUP($B19,Данные!$A$1:$U$1009,16,FALSE)</f>
        <v>5 лет</v>
      </c>
      <c r="V19" s="407">
        <v>4585</v>
      </c>
    </row>
    <row r="20" spans="1:22" ht="90" customHeight="1" thickBot="1">
      <c r="A20" s="356"/>
      <c r="B20" s="13" t="s">
        <v>184</v>
      </c>
      <c r="C20" s="191">
        <f>VLOOKUP(B20,Данные!A15:Z372,26,FALSE)</f>
        <v>2039</v>
      </c>
      <c r="D20" s="343"/>
      <c r="E20" s="345"/>
      <c r="F20" s="79" t="str">
        <f>VLOOKUP($B20,Данные!$A$1:$U$1009,6,FALSE)</f>
        <v>К (концентрированная), 12 гр</v>
      </c>
      <c r="G20" s="79" t="str">
        <f>VLOOKUP($B20,Данные!$A$1:$U$1009,8,FALSE)</f>
        <v>Samsung LH351</v>
      </c>
      <c r="H20" s="79" t="str">
        <f>VLOOKUP($B20,Данные!$A$1:$U$1009,12,FALSE)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0" s="79" t="str">
        <f>VLOOKUP($B20,Данные!$A$1:$U$1009,4,FALSE)</f>
        <v>176-264В AС</v>
      </c>
      <c r="J20" s="79">
        <f>VLOOKUP($B20,Данные!$A$1:$U$1009,5,FALSE)</f>
        <v>0.95</v>
      </c>
      <c r="K20" s="79" t="str">
        <f>VLOOKUP($B20,Данные!$A$1:$U$1009,13,FALSE)</f>
        <v xml:space="preserve"> -60°...+50° С</v>
      </c>
      <c r="L20" s="79" t="str">
        <f>VLOOKUP($B20,Данные!$A$1:$U$1009,14,FALSE)</f>
        <v>100 000 ч</v>
      </c>
      <c r="M20" s="79" t="str">
        <f>VLOOKUP($B20,Данные!$A$1:$U$1009,10,FALSE)</f>
        <v>548х100х133</v>
      </c>
      <c r="N20" s="79">
        <f>VLOOKUP($B20,Данные!$A$1:$U$1009,11,FALSE)</f>
        <v>0</v>
      </c>
      <c r="O20" s="28" t="str">
        <f>VLOOKUP($B20,Данные!$A$1:$U$1009,9,FALSE)</f>
        <v>-</v>
      </c>
      <c r="P20" s="25">
        <f>VLOOKUP($B20,Данные!$A$1:$U$1009,2,FALSE)</f>
        <v>79</v>
      </c>
      <c r="Q20" s="26">
        <f>VLOOKUP($B20,Данные!$A$1:$U$1009,3,FALSE)</f>
        <v>11455</v>
      </c>
      <c r="R20" s="114">
        <f t="shared" si="0"/>
        <v>145</v>
      </c>
      <c r="S20" s="38" t="str">
        <f>VLOOKUP($B20,Данные!$A$1:$U$1009,15,FALSE)</f>
        <v>5000К 4000К* 3000К*</v>
      </c>
      <c r="T20" s="38">
        <f>VLOOKUP($B20,Данные!$A$1:$U$1009,7,FALSE)</f>
        <v>67</v>
      </c>
      <c r="U20" s="110" t="str">
        <f>VLOOKUP($B20,Данные!$A$1:$U$1009,16,FALSE)</f>
        <v>5 лет</v>
      </c>
      <c r="V20" s="408">
        <v>6745</v>
      </c>
    </row>
    <row r="21" spans="1:22" ht="90" customHeight="1">
      <c r="A21" s="373"/>
      <c r="B21" s="11" t="s">
        <v>559</v>
      </c>
      <c r="C21" s="190">
        <f>VLOOKUP(B21,Данные!A13:Z370,26,FALSE)</f>
        <v>2076</v>
      </c>
      <c r="D21" s="342" t="s">
        <v>33</v>
      </c>
      <c r="E21" s="344" t="str">
        <f>CONCATENATE(CONCATENATE("КСС: К / Г / Д / Л / Ш / М, боковая, осевая (в зав. от модели) ",$G$3,": ",$G21,CHAR(10),$H$3,": ",$H21,CHAR(10),$I$3,": ",$I21,CHAR(10),$J$3,": ",$J21,CHAR(10),$K$3,": ",$K21,CHAR(10),$L$3,": ",$L21,CHAR(10)),"*Цветовая темп.: 5000К (по умолчанию), 3000К, 4000К (опционально)")</f>
        <v>КСС: К / Г / Д / Л / Ш / М, боковая, осевая (в зав. от модели) 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1" s="327" t="str">
        <f>VLOOKUP($B21,Данные!$A$1:$U$1009,6,FALSE)</f>
        <v>К (концентрированная), 15 гр</v>
      </c>
      <c r="G21" s="327" t="str">
        <f>VLOOKUP($B21,Данные!$A$1:$U$1009,8,FALSE)</f>
        <v>Samsung LM281</v>
      </c>
      <c r="H21" s="327" t="str">
        <f>VLOOKUP($B21,Данные!$A$1:$U$1009,12,FALSE)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1" s="327" t="str">
        <f>VLOOKUP($B21,Данные!$A$1:$U$1009,4,FALSE)</f>
        <v>176-264В AС</v>
      </c>
      <c r="J21" s="327">
        <f>VLOOKUP($B21,Данные!$A$1:$U$1009,5,FALSE)</f>
        <v>0.95</v>
      </c>
      <c r="K21" s="327" t="str">
        <f>VLOOKUP($B21,Данные!$A$1:$U$1009,13,FALSE)</f>
        <v xml:space="preserve"> -60°...+50° С</v>
      </c>
      <c r="L21" s="327" t="str">
        <f>VLOOKUP($B21,Данные!$A$1:$U$1009,14,FALSE)</f>
        <v>100 000 ч</v>
      </c>
      <c r="M21" s="327" t="str">
        <f>VLOOKUP($B21,Данные!$A$1:$U$1009,10,FALSE)</f>
        <v>280х100х133</v>
      </c>
      <c r="N21" s="327">
        <f>VLOOKUP($B21,Данные!$A$1:$U$1009,11,FALSE)</f>
        <v>0</v>
      </c>
      <c r="O21" s="24" t="str">
        <f>VLOOKUP($B21,Данные!$A$1:$U$1009,9,FALSE)</f>
        <v>-</v>
      </c>
      <c r="P21" s="21">
        <f>VLOOKUP($B21,Данные!$A$1:$U$1009,2,FALSE)</f>
        <v>32</v>
      </c>
      <c r="Q21" s="22">
        <f>VLOOKUP($B21,Данные!$A$1:$U$1009,3,FALSE)</f>
        <v>4480</v>
      </c>
      <c r="R21" s="23">
        <f t="shared" ref="R21:R23" si="2">Q21/P21</f>
        <v>140</v>
      </c>
      <c r="S21" s="37" t="str">
        <f>VLOOKUP($B21,Данные!$A$1:$U$1009,15,FALSE)</f>
        <v>5000К 4000К* 3000К*</v>
      </c>
      <c r="T21" s="37">
        <f>VLOOKUP($B21,Данные!$A$1:$U$1009,7,FALSE)</f>
        <v>67</v>
      </c>
      <c r="U21" s="108" t="str">
        <f>VLOOKUP($B21,Данные!$A$1:$U$1009,16,FALSE)</f>
        <v>5 лет</v>
      </c>
      <c r="V21" s="406">
        <v>2860</v>
      </c>
    </row>
    <row r="22" spans="1:22" ht="90" customHeight="1">
      <c r="A22" s="371"/>
      <c r="B22" s="12" t="s">
        <v>578</v>
      </c>
      <c r="C22" s="192">
        <f>VLOOKUP(B22,Данные!A14:Z371,26,FALSE)</f>
        <v>2077</v>
      </c>
      <c r="D22" s="337"/>
      <c r="E22" s="338"/>
      <c r="F22" s="325" t="str">
        <f>VLOOKUP($B22,Данные!$A$1:$U$1009,6,FALSE)</f>
        <v>К (концентрированная), 15 гр</v>
      </c>
      <c r="G22" s="325" t="str">
        <f>VLOOKUP($B22,Данные!$A$1:$U$1009,8,FALSE)</f>
        <v>Samsung LM281</v>
      </c>
      <c r="H22" s="325" t="str">
        <f>VLOOKUP($B22,Данные!$A$1:$U$1009,12,FALSE)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2" s="325" t="str">
        <f>VLOOKUP($B22,Данные!$A$1:$U$1009,4,FALSE)</f>
        <v>176-264В AС</v>
      </c>
      <c r="J22" s="325">
        <f>VLOOKUP($B22,Данные!$A$1:$U$1009,5,FALSE)</f>
        <v>0.95</v>
      </c>
      <c r="K22" s="325" t="str">
        <f>VLOOKUP($B22,Данные!$A$1:$U$1009,13,FALSE)</f>
        <v xml:space="preserve"> -60°...+50° С</v>
      </c>
      <c r="L22" s="325" t="str">
        <f>VLOOKUP($B22,Данные!$A$1:$U$1009,14,FALSE)</f>
        <v>100 000 ч</v>
      </c>
      <c r="M22" s="325" t="str">
        <f>VLOOKUP($B22,Данные!$A$1:$U$1009,10,FALSE)</f>
        <v>530х100х133</v>
      </c>
      <c r="N22" s="325">
        <f>VLOOKUP($B22,Данные!$A$1:$U$1009,11,FALSE)</f>
        <v>0</v>
      </c>
      <c r="O22" s="328" t="str">
        <f>VLOOKUP($B22,Данные!$A$1:$U$1009,9,FALSE)</f>
        <v>-</v>
      </c>
      <c r="P22" s="29">
        <f>VLOOKUP($B22,Данные!$A$1:$U$1009,2,FALSE)</f>
        <v>64</v>
      </c>
      <c r="Q22" s="30">
        <f>VLOOKUP($B22,Данные!$A$1:$U$1009,3,FALSE)</f>
        <v>8960</v>
      </c>
      <c r="R22" s="31">
        <f t="shared" si="2"/>
        <v>140</v>
      </c>
      <c r="S22" s="36" t="str">
        <f>VLOOKUP($B22,Данные!$A$1:$U$1009,15,FALSE)</f>
        <v>5000К 4000К* 3000К*</v>
      </c>
      <c r="T22" s="36">
        <f>VLOOKUP($B22,Данные!$A$1:$U$1009,7,FALSE)</f>
        <v>67</v>
      </c>
      <c r="U22" s="109" t="str">
        <f>VLOOKUP($B22,Данные!$A$1:$U$1009,16,FALSE)</f>
        <v>5 лет</v>
      </c>
      <c r="V22" s="407">
        <v>4145</v>
      </c>
    </row>
    <row r="23" spans="1:22" ht="90" customHeight="1" thickBot="1">
      <c r="A23" s="372"/>
      <c r="B23" s="13" t="s">
        <v>560</v>
      </c>
      <c r="C23" s="191">
        <f>VLOOKUP(B23,Данные!A15:Z372,26,FALSE)</f>
        <v>2078</v>
      </c>
      <c r="D23" s="343"/>
      <c r="E23" s="345"/>
      <c r="F23" s="326" t="str">
        <f>VLOOKUP($B23,Данные!$A$1:$U$1009,6,FALSE)</f>
        <v>К (концентрированная), 15 гр</v>
      </c>
      <c r="G23" s="326" t="str">
        <f>VLOOKUP($B23,Данные!$A$1:$U$1009,8,FALSE)</f>
        <v>Samsung LM281</v>
      </c>
      <c r="H23" s="326" t="str">
        <f>VLOOKUP($B23,Данные!$A$1:$U$1009,12,FALSE)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3" s="326" t="str">
        <f>VLOOKUP($B23,Данные!$A$1:$U$1009,4,FALSE)</f>
        <v>176-264В AС</v>
      </c>
      <c r="J23" s="326">
        <f>VLOOKUP($B23,Данные!$A$1:$U$1009,5,FALSE)</f>
        <v>0.95</v>
      </c>
      <c r="K23" s="326" t="str">
        <f>VLOOKUP($B23,Данные!$A$1:$U$1009,13,FALSE)</f>
        <v xml:space="preserve"> -60°...+50° С</v>
      </c>
      <c r="L23" s="326" t="str">
        <f>VLOOKUP($B23,Данные!$A$1:$U$1009,14,FALSE)</f>
        <v>100 000 ч</v>
      </c>
      <c r="M23" s="326" t="str">
        <f>VLOOKUP($B23,Данные!$A$1:$U$1009,10,FALSE)</f>
        <v>790х100х133</v>
      </c>
      <c r="N23" s="326">
        <f>VLOOKUP($B23,Данные!$A$1:$U$1009,11,FALSE)</f>
        <v>0</v>
      </c>
      <c r="O23" s="329" t="str">
        <f>VLOOKUP($B23,Данные!$A$1:$U$1009,9,FALSE)</f>
        <v>-</v>
      </c>
      <c r="P23" s="25">
        <f>VLOOKUP($B23,Данные!$A$1:$U$1009,2,FALSE)</f>
        <v>96</v>
      </c>
      <c r="Q23" s="26">
        <f>VLOOKUP($B23,Данные!$A$1:$U$1009,3,FALSE)</f>
        <v>13440</v>
      </c>
      <c r="R23" s="27">
        <f t="shared" si="2"/>
        <v>140</v>
      </c>
      <c r="S23" s="38" t="str">
        <f>VLOOKUP($B23,Данные!$A$1:$U$1009,15,FALSE)</f>
        <v>5000К 4000К* 3000К*</v>
      </c>
      <c r="T23" s="38">
        <f>VLOOKUP($B23,Данные!$A$1:$U$1009,7,FALSE)</f>
        <v>67</v>
      </c>
      <c r="U23" s="110" t="str">
        <f>VLOOKUP($B23,Данные!$A$1:$U$1009,16,FALSE)</f>
        <v>5 лет</v>
      </c>
      <c r="V23" s="408">
        <v>6365</v>
      </c>
    </row>
    <row r="24" spans="1:22" ht="90" customHeight="1">
      <c r="A24" s="373"/>
      <c r="B24" s="11" t="s">
        <v>561</v>
      </c>
      <c r="C24" s="190">
        <f>VLOOKUP(B24,Данные!A16:Z373,26,FALSE)</f>
        <v>2079</v>
      </c>
      <c r="D24" s="342" t="s">
        <v>33</v>
      </c>
      <c r="E24" s="344" t="str">
        <f>CONCATENATE(CONCATENATE("КСС: К / Г / Д / Л / Ш / М, боковая, осевая (в зав. от модели) ",$G$3,": ",$G24,CHAR(10),$H$3,": ",$H24,CHAR(10),$I$3,": ",$I24,CHAR(10),$J$3,": ",$J24,CHAR(10),$K$3,": ",$K24,CHAR(10),$L$3,": ",$L24,CHAR(10)),"*Цветовая темп.: 5000К (по умолчанию), 3000К, 4000К (опционально)")</f>
        <v>КСС: К / Г / Д / Л / Ш / М, боковая, осевая (в зав. от модели) 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4" s="327" t="str">
        <f>VLOOKUP($B24,Данные!$A$1:$U$1009,6,FALSE)</f>
        <v>К (концентрированная), 25 гр</v>
      </c>
      <c r="G24" s="327" t="str">
        <f>VLOOKUP($B24,Данные!$A$1:$U$1009,8,FALSE)</f>
        <v>Samsung LM281</v>
      </c>
      <c r="H24" s="327" t="str">
        <f>VLOOKUP($B24,Данные!$A$1:$U$1009,12,FALSE)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4" s="327" t="str">
        <f>VLOOKUP($B24,Данные!$A$1:$U$1009,4,FALSE)</f>
        <v>176-264В AС</v>
      </c>
      <c r="J24" s="327">
        <f>VLOOKUP($B24,Данные!$A$1:$U$1009,5,FALSE)</f>
        <v>0.95</v>
      </c>
      <c r="K24" s="327" t="str">
        <f>VLOOKUP($B24,Данные!$A$1:$U$1009,13,FALSE)</f>
        <v xml:space="preserve"> -60°...+50° С</v>
      </c>
      <c r="L24" s="327" t="str">
        <f>VLOOKUP($B24,Данные!$A$1:$U$1009,14,FALSE)</f>
        <v>100 000 ч</v>
      </c>
      <c r="M24" s="327" t="str">
        <f>VLOOKUP($B24,Данные!$A$1:$U$1009,10,FALSE)</f>
        <v>280х100х133</v>
      </c>
      <c r="N24" s="327">
        <f>VLOOKUP($B24,Данные!$A$1:$U$1009,11,FALSE)</f>
        <v>0</v>
      </c>
      <c r="O24" s="24" t="str">
        <f>VLOOKUP($B24,Данные!$A$1:$U$1009,9,FALSE)</f>
        <v>-</v>
      </c>
      <c r="P24" s="21">
        <f>VLOOKUP($B24,Данные!$A$1:$U$1009,2,FALSE)</f>
        <v>32</v>
      </c>
      <c r="Q24" s="22">
        <f>VLOOKUP($B24,Данные!$A$1:$U$1009,3,FALSE)</f>
        <v>4480</v>
      </c>
      <c r="R24" s="23">
        <f t="shared" ref="R24:R26" si="3">Q24/P24</f>
        <v>140</v>
      </c>
      <c r="S24" s="37" t="str">
        <f>VLOOKUP($B24,Данные!$A$1:$U$1009,15,FALSE)</f>
        <v>5000К 4000К* 3000К*</v>
      </c>
      <c r="T24" s="37">
        <f>VLOOKUP($B24,Данные!$A$1:$U$1009,7,FALSE)</f>
        <v>67</v>
      </c>
      <c r="U24" s="108" t="str">
        <f>VLOOKUP($B24,Данные!$A$1:$U$1009,16,FALSE)</f>
        <v>5 лет</v>
      </c>
      <c r="V24" s="406">
        <v>2860</v>
      </c>
    </row>
    <row r="25" spans="1:22" ht="90" customHeight="1">
      <c r="A25" s="371"/>
      <c r="B25" s="12" t="s">
        <v>579</v>
      </c>
      <c r="C25" s="192">
        <f>VLOOKUP(B25,Данные!A17:Z374,26,FALSE)</f>
        <v>2080</v>
      </c>
      <c r="D25" s="337"/>
      <c r="E25" s="338"/>
      <c r="F25" s="325" t="str">
        <f>VLOOKUP($B25,Данные!$A$1:$U$1009,6,FALSE)</f>
        <v>К (концентрированная), 25 гр</v>
      </c>
      <c r="G25" s="325" t="str">
        <f>VLOOKUP($B25,Данные!$A$1:$U$1009,8,FALSE)</f>
        <v>Samsung LM281</v>
      </c>
      <c r="H25" s="325" t="str">
        <f>VLOOKUP($B25,Данные!$A$1:$U$1009,12,FALSE)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5" s="325" t="str">
        <f>VLOOKUP($B25,Данные!$A$1:$U$1009,4,FALSE)</f>
        <v>176-264В AС</v>
      </c>
      <c r="J25" s="325">
        <f>VLOOKUP($B25,Данные!$A$1:$U$1009,5,FALSE)</f>
        <v>0.95</v>
      </c>
      <c r="K25" s="325" t="str">
        <f>VLOOKUP($B25,Данные!$A$1:$U$1009,13,FALSE)</f>
        <v xml:space="preserve"> -60°...+50° С</v>
      </c>
      <c r="L25" s="325" t="str">
        <f>VLOOKUP($B25,Данные!$A$1:$U$1009,14,FALSE)</f>
        <v>100 000 ч</v>
      </c>
      <c r="M25" s="325" t="str">
        <f>VLOOKUP($B25,Данные!$A$1:$U$1009,10,FALSE)</f>
        <v>530х100х133</v>
      </c>
      <c r="N25" s="325">
        <f>VLOOKUP($B25,Данные!$A$1:$U$1009,11,FALSE)</f>
        <v>0</v>
      </c>
      <c r="O25" s="328" t="str">
        <f>VLOOKUP($B25,Данные!$A$1:$U$1009,9,FALSE)</f>
        <v>-</v>
      </c>
      <c r="P25" s="29">
        <f>VLOOKUP($B25,Данные!$A$1:$U$1009,2,FALSE)</f>
        <v>64</v>
      </c>
      <c r="Q25" s="30">
        <f>VLOOKUP($B25,Данные!$A$1:$U$1009,3,FALSE)</f>
        <v>8960</v>
      </c>
      <c r="R25" s="31">
        <f t="shared" si="3"/>
        <v>140</v>
      </c>
      <c r="S25" s="36" t="str">
        <f>VLOOKUP($B25,Данные!$A$1:$U$1009,15,FALSE)</f>
        <v>5000К 4000К* 3000К*</v>
      </c>
      <c r="T25" s="36">
        <f>VLOOKUP($B25,Данные!$A$1:$U$1009,7,FALSE)</f>
        <v>67</v>
      </c>
      <c r="U25" s="109" t="str">
        <f>VLOOKUP($B25,Данные!$A$1:$U$1009,16,FALSE)</f>
        <v>5 лет</v>
      </c>
      <c r="V25" s="407">
        <v>4145</v>
      </c>
    </row>
    <row r="26" spans="1:22" ht="90" customHeight="1" thickBot="1">
      <c r="A26" s="372"/>
      <c r="B26" s="13" t="s">
        <v>562</v>
      </c>
      <c r="C26" s="191">
        <f>VLOOKUP(B26,Данные!A18:Z375,26,FALSE)</f>
        <v>2081</v>
      </c>
      <c r="D26" s="343"/>
      <c r="E26" s="345"/>
      <c r="F26" s="326" t="str">
        <f>VLOOKUP($B26,Данные!$A$1:$U$1009,6,FALSE)</f>
        <v>К (концентрированная), 25 гр</v>
      </c>
      <c r="G26" s="326" t="str">
        <f>VLOOKUP($B26,Данные!$A$1:$U$1009,8,FALSE)</f>
        <v>Samsung LM281</v>
      </c>
      <c r="H26" s="326" t="str">
        <f>VLOOKUP($B26,Данные!$A$1:$U$1009,12,FALSE)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6" s="326" t="str">
        <f>VLOOKUP($B26,Данные!$A$1:$U$1009,4,FALSE)</f>
        <v>176-264В AС</v>
      </c>
      <c r="J26" s="326">
        <f>VLOOKUP($B26,Данные!$A$1:$U$1009,5,FALSE)</f>
        <v>0.95</v>
      </c>
      <c r="K26" s="326" t="str">
        <f>VLOOKUP($B26,Данные!$A$1:$U$1009,13,FALSE)</f>
        <v xml:space="preserve"> -60°...+50° С</v>
      </c>
      <c r="L26" s="326" t="str">
        <f>VLOOKUP($B26,Данные!$A$1:$U$1009,14,FALSE)</f>
        <v>100 000 ч</v>
      </c>
      <c r="M26" s="326" t="str">
        <f>VLOOKUP($B26,Данные!$A$1:$U$1009,10,FALSE)</f>
        <v>790х100х133</v>
      </c>
      <c r="N26" s="326">
        <f>VLOOKUP($B26,Данные!$A$1:$U$1009,11,FALSE)</f>
        <v>0</v>
      </c>
      <c r="O26" s="329" t="str">
        <f>VLOOKUP($B26,Данные!$A$1:$U$1009,9,FALSE)</f>
        <v>-</v>
      </c>
      <c r="P26" s="25">
        <f>VLOOKUP($B26,Данные!$A$1:$U$1009,2,FALSE)</f>
        <v>96</v>
      </c>
      <c r="Q26" s="26">
        <f>VLOOKUP($B26,Данные!$A$1:$U$1009,3,FALSE)</f>
        <v>13440</v>
      </c>
      <c r="R26" s="27">
        <f t="shared" si="3"/>
        <v>140</v>
      </c>
      <c r="S26" s="38" t="str">
        <f>VLOOKUP($B26,Данные!$A$1:$U$1009,15,FALSE)</f>
        <v>5000К 4000К* 3000К*</v>
      </c>
      <c r="T26" s="38">
        <f>VLOOKUP($B26,Данные!$A$1:$U$1009,7,FALSE)</f>
        <v>67</v>
      </c>
      <c r="U26" s="110" t="str">
        <f>VLOOKUP($B26,Данные!$A$1:$U$1009,16,FALSE)</f>
        <v>5 лет</v>
      </c>
      <c r="V26" s="408">
        <v>6365</v>
      </c>
    </row>
    <row r="27" spans="1:22" ht="90" customHeight="1">
      <c r="A27" s="349"/>
      <c r="B27" s="11" t="s">
        <v>185</v>
      </c>
      <c r="C27" s="190">
        <f>VLOOKUP(B27,Данные!A16:Z373,26,FALSE)</f>
        <v>2040</v>
      </c>
      <c r="D27" s="342" t="s">
        <v>33</v>
      </c>
      <c r="E27" s="344" t="str">
        <f>CONCATENATE(CONCATENATE("КСС: К / Г / Д / Л / Ш / М, боковая, осевая (в зав. от модели) ",$G$3,": ",$G27,CHAR(10),$H$3,": ",$H27,CHAR(10),$I$3,": ",$I27,CHAR(10),$J$3,": ",$J27,CHAR(10),$K$3,": ",$K27,CHAR(10),$L$3,": ",$L27,CHAR(10)),"*Цветовая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7" s="327" t="str">
        <f>VLOOKUP($B27,Данные!$A$1:$U$1009,6,FALSE)</f>
        <v>К (концентрированная), 27 гр</v>
      </c>
      <c r="G27" s="327" t="str">
        <f>VLOOKUP($B27,Данные!$A$1:$U$1009,8,FALSE)</f>
        <v>Samsung LH351</v>
      </c>
      <c r="H27" s="327" t="str">
        <f>VLOOKUP($B27,Данные!$A$1:$U$1009,12,FALSE)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7" s="327" t="str">
        <f>VLOOKUP($B27,Данные!$A$1:$U$1009,4,FALSE)</f>
        <v>176-264В AС</v>
      </c>
      <c r="J27" s="327">
        <f>VLOOKUP($B27,Данные!$A$1:$U$1009,5,FALSE)</f>
        <v>0.95</v>
      </c>
      <c r="K27" s="327" t="str">
        <f>VLOOKUP($B27,Данные!$A$1:$U$1009,13,FALSE)</f>
        <v xml:space="preserve"> -60°...+50° С</v>
      </c>
      <c r="L27" s="327" t="str">
        <f>VLOOKUP($B27,Данные!$A$1:$U$1009,14,FALSE)</f>
        <v>100 000 ч</v>
      </c>
      <c r="M27" s="327" t="str">
        <f>VLOOKUP($B27,Данные!$A$1:$U$1009,10,FALSE)</f>
        <v>224х100х133</v>
      </c>
      <c r="N27" s="327">
        <f>VLOOKUP($B27,Данные!$A$1:$U$1009,11,FALSE)</f>
        <v>0</v>
      </c>
      <c r="O27" s="24" t="str">
        <f>VLOOKUP($B27,Данные!$A$1:$U$1009,9,FALSE)</f>
        <v>-</v>
      </c>
      <c r="P27" s="21">
        <f>VLOOKUP($B27,Данные!$A$1:$U$1009,2,FALSE)</f>
        <v>27</v>
      </c>
      <c r="Q27" s="22">
        <f>VLOOKUP($B27,Данные!$A$1:$U$1009,3,FALSE)</f>
        <v>3915</v>
      </c>
      <c r="R27" s="113">
        <f t="shared" si="0"/>
        <v>145</v>
      </c>
      <c r="S27" s="37" t="str">
        <f>VLOOKUP($B27,Данные!$A$1:$U$1009,15,FALSE)</f>
        <v>5000К 4000К* 3000К*</v>
      </c>
      <c r="T27" s="37">
        <f>VLOOKUP($B27,Данные!$A$1:$U$1009,7,FALSE)</f>
        <v>67</v>
      </c>
      <c r="U27" s="108" t="str">
        <f>VLOOKUP($B27,Данные!$A$1:$U$1009,16,FALSE)</f>
        <v>5 лет</v>
      </c>
      <c r="V27" s="406">
        <v>2920</v>
      </c>
    </row>
    <row r="28" spans="1:22" ht="90" customHeight="1">
      <c r="A28" s="350"/>
      <c r="B28" s="12" t="s">
        <v>186</v>
      </c>
      <c r="C28" s="192">
        <f>VLOOKUP(B28,Данные!A17:Z374,26,FALSE)</f>
        <v>2041</v>
      </c>
      <c r="D28" s="337"/>
      <c r="E28" s="338"/>
      <c r="F28" s="325" t="str">
        <f>VLOOKUP($B28,Данные!$A$1:$U$1009,6,FALSE)</f>
        <v>К (концентрированная), 27 гр</v>
      </c>
      <c r="G28" s="325" t="str">
        <f>VLOOKUP($B28,Данные!$A$1:$U$1009,8,FALSE)</f>
        <v>Samsung LH351</v>
      </c>
      <c r="H28" s="325" t="str">
        <f>VLOOKUP($B28,Данные!$A$1:$U$1009,12,FALSE)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8" s="325" t="str">
        <f>VLOOKUP($B28,Данные!$A$1:$U$1009,4,FALSE)</f>
        <v>176-264В AС</v>
      </c>
      <c r="J28" s="325">
        <f>VLOOKUP($B28,Данные!$A$1:$U$1009,5,FALSE)</f>
        <v>0.95</v>
      </c>
      <c r="K28" s="325" t="str">
        <f>VLOOKUP($B28,Данные!$A$1:$U$1009,13,FALSE)</f>
        <v xml:space="preserve"> -60°...+50° С</v>
      </c>
      <c r="L28" s="325" t="str">
        <f>VLOOKUP($B28,Данные!$A$1:$U$1009,14,FALSE)</f>
        <v>100 000 ч</v>
      </c>
      <c r="M28" s="325" t="str">
        <f>VLOOKUP($B28,Данные!$A$1:$U$1009,10,FALSE)</f>
        <v>374х100х133</v>
      </c>
      <c r="N28" s="325">
        <f>VLOOKUP($B28,Данные!$A$1:$U$1009,11,FALSE)</f>
        <v>0</v>
      </c>
      <c r="O28" s="328" t="str">
        <f>VLOOKUP($B28,Данные!$A$1:$U$1009,9,FALSE)</f>
        <v>-</v>
      </c>
      <c r="P28" s="29">
        <f>VLOOKUP($B28,Данные!$A$1:$U$1009,2,FALSE)</f>
        <v>53</v>
      </c>
      <c r="Q28" s="30">
        <f>VLOOKUP($B28,Данные!$A$1:$U$1009,3,FALSE)</f>
        <v>7685</v>
      </c>
      <c r="R28" s="269">
        <f t="shared" si="0"/>
        <v>145</v>
      </c>
      <c r="S28" s="36" t="str">
        <f>VLOOKUP($B28,Данные!$A$1:$U$1009,15,FALSE)</f>
        <v>5000К 4000К* 3000К*</v>
      </c>
      <c r="T28" s="36">
        <f>VLOOKUP($B28,Данные!$A$1:$U$1009,7,FALSE)</f>
        <v>67</v>
      </c>
      <c r="U28" s="109" t="str">
        <f>VLOOKUP($B28,Данные!$A$1:$U$1009,16,FALSE)</f>
        <v>5 лет</v>
      </c>
      <c r="V28" s="407">
        <v>4585</v>
      </c>
    </row>
    <row r="29" spans="1:22" ht="90" customHeight="1" thickBot="1">
      <c r="A29" s="351"/>
      <c r="B29" s="13" t="s">
        <v>187</v>
      </c>
      <c r="C29" s="191">
        <f>VLOOKUP(B29,Данные!A18:Z375,26,FALSE)</f>
        <v>2042</v>
      </c>
      <c r="D29" s="343"/>
      <c r="E29" s="345"/>
      <c r="F29" s="326" t="str">
        <f>VLOOKUP($B29,Данные!$A$1:$U$1009,6,FALSE)</f>
        <v>К (концентрированная), 27 гр</v>
      </c>
      <c r="G29" s="326" t="str">
        <f>VLOOKUP($B29,Данные!$A$1:$U$1009,8,FALSE)</f>
        <v>Samsung LH351</v>
      </c>
      <c r="H29" s="326" t="str">
        <f>VLOOKUP($B29,Данные!$A$1:$U$1009,12,FALSE)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9" s="326" t="str">
        <f>VLOOKUP($B29,Данные!$A$1:$U$1009,4,FALSE)</f>
        <v>176-264В AС</v>
      </c>
      <c r="J29" s="326">
        <f>VLOOKUP($B29,Данные!$A$1:$U$1009,5,FALSE)</f>
        <v>0.95</v>
      </c>
      <c r="K29" s="326" t="str">
        <f>VLOOKUP($B29,Данные!$A$1:$U$1009,13,FALSE)</f>
        <v xml:space="preserve"> -60°...+50° С</v>
      </c>
      <c r="L29" s="326" t="str">
        <f>VLOOKUP($B29,Данные!$A$1:$U$1009,14,FALSE)</f>
        <v>100 000 ч</v>
      </c>
      <c r="M29" s="326" t="str">
        <f>VLOOKUP($B29,Данные!$A$1:$U$1009,10,FALSE)</f>
        <v>548х100х133</v>
      </c>
      <c r="N29" s="326">
        <f>VLOOKUP($B29,Данные!$A$1:$U$1009,11,FALSE)</f>
        <v>0</v>
      </c>
      <c r="O29" s="329" t="str">
        <f>VLOOKUP($B29,Данные!$A$1:$U$1009,9,FALSE)</f>
        <v>-</v>
      </c>
      <c r="P29" s="25">
        <f>VLOOKUP($B29,Данные!$A$1:$U$1009,2,FALSE)</f>
        <v>79</v>
      </c>
      <c r="Q29" s="26">
        <f>VLOOKUP($B29,Данные!$A$1:$U$1009,3,FALSE)</f>
        <v>11455</v>
      </c>
      <c r="R29" s="114">
        <f t="shared" si="0"/>
        <v>145</v>
      </c>
      <c r="S29" s="38" t="str">
        <f>VLOOKUP($B29,Данные!$A$1:$U$1009,15,FALSE)</f>
        <v>5000К 4000К* 3000К*</v>
      </c>
      <c r="T29" s="38">
        <f>VLOOKUP($B29,Данные!$A$1:$U$1009,7,FALSE)</f>
        <v>67</v>
      </c>
      <c r="U29" s="110" t="str">
        <f>VLOOKUP($B29,Данные!$A$1:$U$1009,16,FALSE)</f>
        <v>5 лет</v>
      </c>
      <c r="V29" s="408">
        <v>6745</v>
      </c>
    </row>
    <row r="30" spans="1:22" ht="90" customHeight="1">
      <c r="A30" s="354"/>
      <c r="B30" s="11" t="s">
        <v>188</v>
      </c>
      <c r="C30" s="190">
        <f>VLOOKUP(B30,Данные!A19:Z376,26,FALSE)</f>
        <v>2043</v>
      </c>
      <c r="D30" s="342" t="s">
        <v>33</v>
      </c>
      <c r="E30" s="344" t="str">
        <f>CONCATENATE(CONCATENATE("КСС: К / Г / Д / Л / Ш / М, боковая, осевая (в зав. от модели) ",$G$3,": ",$G30,CHAR(10),$H$3,": ",$H30,CHAR(10),$I$3,": ",$I30,CHAR(10),$J$3,": ",$J30,CHAR(10),$K$3,": ",$K30,CHAR(10),$L$3,": ",$L30,CHAR(10)),"*Цветовая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0" s="78" t="str">
        <f>VLOOKUP($B30,Данные!$A$1:$U$1009,6,FALSE)</f>
        <v>Г (глубокая), 58 гр</v>
      </c>
      <c r="G30" s="78" t="str">
        <f>VLOOKUP($B30,Данные!$A$1:$U$1009,8,FALSE)</f>
        <v>Samsung LH351</v>
      </c>
      <c r="H30" s="78" t="str">
        <f>VLOOKUP($B30,Данные!$A$1:$U$1009,12,FALSE)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0" s="78" t="str">
        <f>VLOOKUP($B30,Данные!$A$1:$U$1009,4,FALSE)</f>
        <v>176-264В AС</v>
      </c>
      <c r="J30" s="78">
        <f>VLOOKUP($B30,Данные!$A$1:$U$1009,5,FALSE)</f>
        <v>0.95</v>
      </c>
      <c r="K30" s="78" t="str">
        <f>VLOOKUP($B30,Данные!$A$1:$U$1009,13,FALSE)</f>
        <v xml:space="preserve"> -60°...+50° С</v>
      </c>
      <c r="L30" s="78" t="str">
        <f>VLOOKUP($B30,Данные!$A$1:$U$1009,14,FALSE)</f>
        <v>100 000 ч</v>
      </c>
      <c r="M30" s="78" t="str">
        <f>VLOOKUP($B30,Данные!$A$1:$U$1009,10,FALSE)</f>
        <v>224х100х133</v>
      </c>
      <c r="N30" s="78">
        <f>VLOOKUP($B30,Данные!$A$1:$U$1009,11,FALSE)</f>
        <v>0</v>
      </c>
      <c r="O30" s="24" t="str">
        <f>VLOOKUP($B30,Данные!$A$1:$U$1009,9,FALSE)</f>
        <v>-</v>
      </c>
      <c r="P30" s="21">
        <f>VLOOKUP($B30,Данные!$A$1:$U$1009,2,FALSE)</f>
        <v>27</v>
      </c>
      <c r="Q30" s="22">
        <f>VLOOKUP($B30,Данные!$A$1:$U$1009,3,FALSE)</f>
        <v>3915</v>
      </c>
      <c r="R30" s="113">
        <f t="shared" si="0"/>
        <v>145</v>
      </c>
      <c r="S30" s="37" t="str">
        <f>VLOOKUP($B30,Данные!$A$1:$U$1009,15,FALSE)</f>
        <v>5000К 4000К* 3000К*</v>
      </c>
      <c r="T30" s="37">
        <f>VLOOKUP($B30,Данные!$A$1:$U$1009,7,FALSE)</f>
        <v>67</v>
      </c>
      <c r="U30" s="108" t="str">
        <f>VLOOKUP($B30,Данные!$A$1:$U$1009,16,FALSE)</f>
        <v>5 лет</v>
      </c>
      <c r="V30" s="406">
        <v>2920</v>
      </c>
    </row>
    <row r="31" spans="1:22" ht="90" customHeight="1">
      <c r="A31" s="355"/>
      <c r="B31" s="12" t="s">
        <v>189</v>
      </c>
      <c r="C31" s="192">
        <f>VLOOKUP(B31,Данные!A20:Z377,26,FALSE)</f>
        <v>2044</v>
      </c>
      <c r="D31" s="337"/>
      <c r="E31" s="338"/>
      <c r="F31" s="81" t="str">
        <f>VLOOKUP($B31,Данные!$A$1:$U$1009,6,FALSE)</f>
        <v>Г (глубокая), 58 гр</v>
      </c>
      <c r="G31" s="81" t="str">
        <f>VLOOKUP($B31,Данные!$A$1:$U$1009,8,FALSE)</f>
        <v>Samsung LH351</v>
      </c>
      <c r="H31" s="81" t="str">
        <f>VLOOKUP($B31,Данные!$A$1:$U$1009,12,FALSE)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1" s="81" t="str">
        <f>VLOOKUP($B31,Данные!$A$1:$U$1009,4,FALSE)</f>
        <v>176-264В AС</v>
      </c>
      <c r="J31" s="81">
        <f>VLOOKUP($B31,Данные!$A$1:$U$1009,5,FALSE)</f>
        <v>0.95</v>
      </c>
      <c r="K31" s="81" t="str">
        <f>VLOOKUP($B31,Данные!$A$1:$U$1009,13,FALSE)</f>
        <v xml:space="preserve"> -60°...+50° С</v>
      </c>
      <c r="L31" s="81" t="str">
        <f>VLOOKUP($B31,Данные!$A$1:$U$1009,14,FALSE)</f>
        <v>100 000 ч</v>
      </c>
      <c r="M31" s="81" t="str">
        <f>VLOOKUP($B31,Данные!$A$1:$U$1009,10,FALSE)</f>
        <v>374х100х133</v>
      </c>
      <c r="N31" s="81">
        <f>VLOOKUP($B31,Данные!$A$1:$U$1009,11,FALSE)</f>
        <v>0</v>
      </c>
      <c r="O31" s="32" t="str">
        <f>VLOOKUP($B31,Данные!$A$1:$U$1009,9,FALSE)</f>
        <v>-</v>
      </c>
      <c r="P31" s="29">
        <f>VLOOKUP($B31,Данные!$A$1:$U$1009,2,FALSE)</f>
        <v>53</v>
      </c>
      <c r="Q31" s="30">
        <f>VLOOKUP($B31,Данные!$A$1:$U$1009,3,FALSE)</f>
        <v>7685</v>
      </c>
      <c r="R31" s="269">
        <f t="shared" si="0"/>
        <v>145</v>
      </c>
      <c r="S31" s="36" t="str">
        <f>VLOOKUP($B31,Данные!$A$1:$U$1009,15,FALSE)</f>
        <v>5000К 4000К* 3000К*</v>
      </c>
      <c r="T31" s="36">
        <f>VLOOKUP($B31,Данные!$A$1:$U$1009,7,FALSE)</f>
        <v>67</v>
      </c>
      <c r="U31" s="109" t="str">
        <f>VLOOKUP($B31,Данные!$A$1:$U$1009,16,FALSE)</f>
        <v>5 лет</v>
      </c>
      <c r="V31" s="407">
        <v>4585</v>
      </c>
    </row>
    <row r="32" spans="1:22" ht="90" customHeight="1" thickBot="1">
      <c r="A32" s="356"/>
      <c r="B32" s="13" t="s">
        <v>190</v>
      </c>
      <c r="C32" s="191">
        <f>VLOOKUP(B32,Данные!A21:Z378,26,FALSE)</f>
        <v>2045</v>
      </c>
      <c r="D32" s="343"/>
      <c r="E32" s="345"/>
      <c r="F32" s="79" t="str">
        <f>VLOOKUP($B32,Данные!$A$1:$U$1009,6,FALSE)</f>
        <v>Г (глубокая), 58 гр</v>
      </c>
      <c r="G32" s="79" t="str">
        <f>VLOOKUP($B32,Данные!$A$1:$U$1009,8,FALSE)</f>
        <v>Samsung LH351</v>
      </c>
      <c r="H32" s="79" t="str">
        <f>VLOOKUP($B32,Данные!$A$1:$U$1009,12,FALSE)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2" s="79" t="str">
        <f>VLOOKUP($B32,Данные!$A$1:$U$1009,4,FALSE)</f>
        <v>176-264В AС</v>
      </c>
      <c r="J32" s="79">
        <f>VLOOKUP($B32,Данные!$A$1:$U$1009,5,FALSE)</f>
        <v>0.95</v>
      </c>
      <c r="K32" s="79" t="str">
        <f>VLOOKUP($B32,Данные!$A$1:$U$1009,13,FALSE)</f>
        <v xml:space="preserve"> -60°...+50° С</v>
      </c>
      <c r="L32" s="79" t="str">
        <f>VLOOKUP($B32,Данные!$A$1:$U$1009,14,FALSE)</f>
        <v>100 000 ч</v>
      </c>
      <c r="M32" s="79" t="str">
        <f>VLOOKUP($B32,Данные!$A$1:$U$1009,10,FALSE)</f>
        <v>548х100х133</v>
      </c>
      <c r="N32" s="79">
        <f>VLOOKUP($B32,Данные!$A$1:$U$1009,11,FALSE)</f>
        <v>0</v>
      </c>
      <c r="O32" s="28" t="str">
        <f>VLOOKUP($B32,Данные!$A$1:$U$1009,9,FALSE)</f>
        <v>-</v>
      </c>
      <c r="P32" s="25">
        <f>VLOOKUP($B32,Данные!$A$1:$U$1009,2,FALSE)</f>
        <v>79</v>
      </c>
      <c r="Q32" s="26">
        <f>VLOOKUP($B32,Данные!$A$1:$U$1009,3,FALSE)</f>
        <v>11455</v>
      </c>
      <c r="R32" s="114">
        <f t="shared" si="0"/>
        <v>145</v>
      </c>
      <c r="S32" s="38" t="str">
        <f>VLOOKUP($B32,Данные!$A$1:$U$1009,15,FALSE)</f>
        <v>5000К 4000К* 3000К*</v>
      </c>
      <c r="T32" s="38">
        <f>VLOOKUP($B32,Данные!$A$1:$U$1009,7,FALSE)</f>
        <v>67</v>
      </c>
      <c r="U32" s="110" t="str">
        <f>VLOOKUP($B32,Данные!$A$1:$U$1009,16,FALSE)</f>
        <v>5 лет</v>
      </c>
      <c r="V32" s="408">
        <v>6745</v>
      </c>
    </row>
    <row r="33" spans="1:22" ht="90" customHeight="1">
      <c r="A33" s="373"/>
      <c r="B33" s="11" t="s">
        <v>563</v>
      </c>
      <c r="C33" s="190">
        <f>VLOOKUP(B33,Данные!A22:Z379,26,FALSE)</f>
        <v>2082</v>
      </c>
      <c r="D33" s="342" t="s">
        <v>33</v>
      </c>
      <c r="E33" s="344" t="str">
        <f>CONCATENATE(CONCATENATE("КСС: К / Г / Д / Л / Ш / М, боковая, осевая (в зав. от модели) ",$G$3,": ",$G33,CHAR(10),$H$3,": ",$H33,CHAR(10),$I$3,": ",$I33,CHAR(10),$J$3,": ",$J33,CHAR(10),$K$3,": ",$K33,CHAR(10),$L$3,": ",$L33,CHAR(10)),"*Цветовая темп.: 5000К (по умолчанию), 3000К, 4000К (опционально)")</f>
        <v>КСС: К / Г / Д / Л / Ш / М, боковая, осевая (в зав. от модели) 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3" s="327" t="str">
        <f>VLOOKUP($B33,Данные!$A$1:$U$1009,6,FALSE)</f>
        <v>Г (глубокая), 60 гр</v>
      </c>
      <c r="G33" s="327" t="str">
        <f>VLOOKUP($B33,Данные!$A$1:$U$1009,8,FALSE)</f>
        <v>Samsung LM281</v>
      </c>
      <c r="H33" s="327" t="str">
        <f>VLOOKUP($B33,Данные!$A$1:$U$1009,12,FALSE)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3" s="327" t="str">
        <f>VLOOKUP($B33,Данные!$A$1:$U$1009,4,FALSE)</f>
        <v>176-264В AС</v>
      </c>
      <c r="J33" s="327">
        <f>VLOOKUP($B33,Данные!$A$1:$U$1009,5,FALSE)</f>
        <v>0.95</v>
      </c>
      <c r="K33" s="327" t="str">
        <f>VLOOKUP($B33,Данные!$A$1:$U$1009,13,FALSE)</f>
        <v xml:space="preserve"> -60°...+50° С</v>
      </c>
      <c r="L33" s="327" t="str">
        <f>VLOOKUP($B33,Данные!$A$1:$U$1009,14,FALSE)</f>
        <v>100 000 ч</v>
      </c>
      <c r="M33" s="327" t="str">
        <f>VLOOKUP($B33,Данные!$A$1:$U$1009,10,FALSE)</f>
        <v>280х100х133</v>
      </c>
      <c r="N33" s="327">
        <f>VLOOKUP($B33,Данные!$A$1:$U$1009,11,FALSE)</f>
        <v>0</v>
      </c>
      <c r="O33" s="24" t="str">
        <f>VLOOKUP($B33,Данные!$A$1:$U$1009,9,FALSE)</f>
        <v>-</v>
      </c>
      <c r="P33" s="21">
        <f>VLOOKUP($B33,Данные!$A$1:$U$1009,2,FALSE)</f>
        <v>32</v>
      </c>
      <c r="Q33" s="22">
        <f>VLOOKUP($B33,Данные!$A$1:$U$1009,3,FALSE)</f>
        <v>4480</v>
      </c>
      <c r="R33" s="23">
        <f t="shared" ref="R33:R35" si="4">Q33/P33</f>
        <v>140</v>
      </c>
      <c r="S33" s="37" t="str">
        <f>VLOOKUP($B33,Данные!$A$1:$U$1009,15,FALSE)</f>
        <v>5000К 4000К* 3000К*</v>
      </c>
      <c r="T33" s="37">
        <f>VLOOKUP($B33,Данные!$A$1:$U$1009,7,FALSE)</f>
        <v>67</v>
      </c>
      <c r="U33" s="108" t="str">
        <f>VLOOKUP($B33,Данные!$A$1:$U$1009,16,FALSE)</f>
        <v>5 лет</v>
      </c>
      <c r="V33" s="406">
        <v>2860</v>
      </c>
    </row>
    <row r="34" spans="1:22" ht="90" customHeight="1">
      <c r="A34" s="371"/>
      <c r="B34" s="12" t="s">
        <v>580</v>
      </c>
      <c r="C34" s="192">
        <f>VLOOKUP(B34,Данные!A23:Z380,26,FALSE)</f>
        <v>2083</v>
      </c>
      <c r="D34" s="337"/>
      <c r="E34" s="338"/>
      <c r="F34" s="325" t="str">
        <f>VLOOKUP($B34,Данные!$A$1:$U$1009,6,FALSE)</f>
        <v>Г (глубокая), 60 гр</v>
      </c>
      <c r="G34" s="325" t="str">
        <f>VLOOKUP($B34,Данные!$A$1:$U$1009,8,FALSE)</f>
        <v>Samsung LM281</v>
      </c>
      <c r="H34" s="325" t="str">
        <f>VLOOKUP($B34,Данные!$A$1:$U$1009,12,FALSE)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4" s="325" t="str">
        <f>VLOOKUP($B34,Данные!$A$1:$U$1009,4,FALSE)</f>
        <v>176-264В AС</v>
      </c>
      <c r="J34" s="325">
        <f>VLOOKUP($B34,Данные!$A$1:$U$1009,5,FALSE)</f>
        <v>0.95</v>
      </c>
      <c r="K34" s="325" t="str">
        <f>VLOOKUP($B34,Данные!$A$1:$U$1009,13,FALSE)</f>
        <v xml:space="preserve"> -60°...+50° С</v>
      </c>
      <c r="L34" s="325" t="str">
        <f>VLOOKUP($B34,Данные!$A$1:$U$1009,14,FALSE)</f>
        <v>100 000 ч</v>
      </c>
      <c r="M34" s="325" t="str">
        <f>VLOOKUP($B34,Данные!$A$1:$U$1009,10,FALSE)</f>
        <v>530х100х133</v>
      </c>
      <c r="N34" s="325">
        <f>VLOOKUP($B34,Данные!$A$1:$U$1009,11,FALSE)</f>
        <v>0</v>
      </c>
      <c r="O34" s="328" t="str">
        <f>VLOOKUP($B34,Данные!$A$1:$U$1009,9,FALSE)</f>
        <v>-</v>
      </c>
      <c r="P34" s="29">
        <f>VLOOKUP($B34,Данные!$A$1:$U$1009,2,FALSE)</f>
        <v>64</v>
      </c>
      <c r="Q34" s="30">
        <f>VLOOKUP($B34,Данные!$A$1:$U$1009,3,FALSE)</f>
        <v>8960</v>
      </c>
      <c r="R34" s="31">
        <f t="shared" si="4"/>
        <v>140</v>
      </c>
      <c r="S34" s="36" t="str">
        <f>VLOOKUP($B34,Данные!$A$1:$U$1009,15,FALSE)</f>
        <v>5000К 4000К* 3000К*</v>
      </c>
      <c r="T34" s="36">
        <f>VLOOKUP($B34,Данные!$A$1:$U$1009,7,FALSE)</f>
        <v>67</v>
      </c>
      <c r="U34" s="109" t="str">
        <f>VLOOKUP($B34,Данные!$A$1:$U$1009,16,FALSE)</f>
        <v>5 лет</v>
      </c>
      <c r="V34" s="407">
        <v>4145</v>
      </c>
    </row>
    <row r="35" spans="1:22" ht="90" customHeight="1" thickBot="1">
      <c r="A35" s="372"/>
      <c r="B35" s="13" t="s">
        <v>564</v>
      </c>
      <c r="C35" s="191">
        <f>VLOOKUP(B35,Данные!A24:Z381,26,FALSE)</f>
        <v>2084</v>
      </c>
      <c r="D35" s="343"/>
      <c r="E35" s="345"/>
      <c r="F35" s="326" t="str">
        <f>VLOOKUP($B35,Данные!$A$1:$U$1009,6,FALSE)</f>
        <v>Г (глубокая), 60 гр</v>
      </c>
      <c r="G35" s="326" t="str">
        <f>VLOOKUP($B35,Данные!$A$1:$U$1009,8,FALSE)</f>
        <v>Samsung LM281</v>
      </c>
      <c r="H35" s="326" t="str">
        <f>VLOOKUP($B35,Данные!$A$1:$U$1009,12,FALSE)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5" s="326" t="str">
        <f>VLOOKUP($B35,Данные!$A$1:$U$1009,4,FALSE)</f>
        <v>176-264В AС</v>
      </c>
      <c r="J35" s="326">
        <f>VLOOKUP($B35,Данные!$A$1:$U$1009,5,FALSE)</f>
        <v>0.95</v>
      </c>
      <c r="K35" s="326" t="str">
        <f>VLOOKUP($B35,Данные!$A$1:$U$1009,13,FALSE)</f>
        <v xml:space="preserve"> -60°...+50° С</v>
      </c>
      <c r="L35" s="326" t="str">
        <f>VLOOKUP($B35,Данные!$A$1:$U$1009,14,FALSE)</f>
        <v>100 000 ч</v>
      </c>
      <c r="M35" s="326" t="str">
        <f>VLOOKUP($B35,Данные!$A$1:$U$1009,10,FALSE)</f>
        <v>790х100х133</v>
      </c>
      <c r="N35" s="326">
        <f>VLOOKUP($B35,Данные!$A$1:$U$1009,11,FALSE)</f>
        <v>0</v>
      </c>
      <c r="O35" s="329" t="str">
        <f>VLOOKUP($B35,Данные!$A$1:$U$1009,9,FALSE)</f>
        <v>-</v>
      </c>
      <c r="P35" s="25">
        <f>VLOOKUP($B35,Данные!$A$1:$U$1009,2,FALSE)</f>
        <v>96</v>
      </c>
      <c r="Q35" s="26">
        <f>VLOOKUP($B35,Данные!$A$1:$U$1009,3,FALSE)</f>
        <v>13440</v>
      </c>
      <c r="R35" s="27">
        <f t="shared" si="4"/>
        <v>140</v>
      </c>
      <c r="S35" s="38" t="str">
        <f>VLOOKUP($B35,Данные!$A$1:$U$1009,15,FALSE)</f>
        <v>5000К 4000К* 3000К*</v>
      </c>
      <c r="T35" s="38">
        <f>VLOOKUP($B35,Данные!$A$1:$U$1009,7,FALSE)</f>
        <v>67</v>
      </c>
      <c r="U35" s="110" t="str">
        <f>VLOOKUP($B35,Данные!$A$1:$U$1009,16,FALSE)</f>
        <v>5 лет</v>
      </c>
      <c r="V35" s="408">
        <v>6365</v>
      </c>
    </row>
    <row r="36" spans="1:22" ht="90" customHeight="1">
      <c r="A36" s="373"/>
      <c r="B36" s="11" t="s">
        <v>565</v>
      </c>
      <c r="C36" s="190">
        <f>VLOOKUP(B36,Данные!A25:Z382,26,FALSE)</f>
        <v>2085</v>
      </c>
      <c r="D36" s="342" t="s">
        <v>33</v>
      </c>
      <c r="E36" s="344" t="str">
        <f>CONCATENATE(CONCATENATE("КСС: К / Г / Д / Л / Ш / М, боковая, осевая (в зав. от модели) ",$G$3,": ",$G36,CHAR(10),$H$3,": ",$H36,CHAR(10),$I$3,": ",$I36,CHAR(10),$J$3,": ",$J36,CHAR(10),$K$3,": ",$K36,CHAR(10),$L$3,": ",$L36,CHAR(10)),"*Цветовая темп.: 5000К (по умолчанию), 3000К, 4000К (опционально)")</f>
        <v>КСС: К / Г / Д / Л / Ш / М, боковая, осевая (в зав. от модели) 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6" s="327" t="str">
        <f>VLOOKUP($B36,Данные!$A$1:$U$1009,6,FALSE)</f>
        <v>Л (полуширокая), 90 гр</v>
      </c>
      <c r="G36" s="327" t="str">
        <f>VLOOKUP($B36,Данные!$A$1:$U$1009,8,FALSE)</f>
        <v>Samsung LM281</v>
      </c>
      <c r="H36" s="327" t="str">
        <f>VLOOKUP($B36,Данные!$A$1:$U$1009,12,FALSE)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6" s="327" t="str">
        <f>VLOOKUP($B36,Данные!$A$1:$U$1009,4,FALSE)</f>
        <v>176-264В AС</v>
      </c>
      <c r="J36" s="327">
        <f>VLOOKUP($B36,Данные!$A$1:$U$1009,5,FALSE)</f>
        <v>0.95</v>
      </c>
      <c r="K36" s="327" t="str">
        <f>VLOOKUP($B36,Данные!$A$1:$U$1009,13,FALSE)</f>
        <v xml:space="preserve"> -60°...+50° С</v>
      </c>
      <c r="L36" s="327" t="str">
        <f>VLOOKUP($B36,Данные!$A$1:$U$1009,14,FALSE)</f>
        <v>100 000 ч</v>
      </c>
      <c r="M36" s="327" t="str">
        <f>VLOOKUP($B36,Данные!$A$1:$U$1009,10,FALSE)</f>
        <v>280х100х133</v>
      </c>
      <c r="N36" s="327">
        <f>VLOOKUP($B36,Данные!$A$1:$U$1009,11,FALSE)</f>
        <v>0</v>
      </c>
      <c r="O36" s="24" t="str">
        <f>VLOOKUP($B36,Данные!$A$1:$U$1009,9,FALSE)</f>
        <v>-</v>
      </c>
      <c r="P36" s="21">
        <f>VLOOKUP($B36,Данные!$A$1:$U$1009,2,FALSE)</f>
        <v>32</v>
      </c>
      <c r="Q36" s="22">
        <f>VLOOKUP($B36,Данные!$A$1:$U$1009,3,FALSE)</f>
        <v>4480</v>
      </c>
      <c r="R36" s="23">
        <f t="shared" si="0"/>
        <v>140</v>
      </c>
      <c r="S36" s="37" t="str">
        <f>VLOOKUP($B36,Данные!$A$1:$U$1009,15,FALSE)</f>
        <v>5000К 4000К* 3000К*</v>
      </c>
      <c r="T36" s="37">
        <f>VLOOKUP($B36,Данные!$A$1:$U$1009,7,FALSE)</f>
        <v>67</v>
      </c>
      <c r="U36" s="108" t="str">
        <f>VLOOKUP($B36,Данные!$A$1:$U$1009,16,FALSE)</f>
        <v>5 лет</v>
      </c>
      <c r="V36" s="406">
        <v>2860</v>
      </c>
    </row>
    <row r="37" spans="1:22" ht="90" customHeight="1">
      <c r="A37" s="371"/>
      <c r="B37" s="12" t="s">
        <v>581</v>
      </c>
      <c r="C37" s="192">
        <f>VLOOKUP(B37,Данные!A26:Z383,26,FALSE)</f>
        <v>2086</v>
      </c>
      <c r="D37" s="337"/>
      <c r="E37" s="338"/>
      <c r="F37" s="325" t="str">
        <f>VLOOKUP($B37,Данные!$A$1:$U$1009,6,FALSE)</f>
        <v>Л (полуширокая), 90 гр</v>
      </c>
      <c r="G37" s="325" t="str">
        <f>VLOOKUP($B37,Данные!$A$1:$U$1009,8,FALSE)</f>
        <v>Samsung LM281</v>
      </c>
      <c r="H37" s="325" t="str">
        <f>VLOOKUP($B37,Данные!$A$1:$U$1009,12,FALSE)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7" s="325" t="str">
        <f>VLOOKUP($B37,Данные!$A$1:$U$1009,4,FALSE)</f>
        <v>176-264В AС</v>
      </c>
      <c r="J37" s="325">
        <f>VLOOKUP($B37,Данные!$A$1:$U$1009,5,FALSE)</f>
        <v>0.95</v>
      </c>
      <c r="K37" s="325" t="str">
        <f>VLOOKUP($B37,Данные!$A$1:$U$1009,13,FALSE)</f>
        <v xml:space="preserve"> -60°...+50° С</v>
      </c>
      <c r="L37" s="325" t="str">
        <f>VLOOKUP($B37,Данные!$A$1:$U$1009,14,FALSE)</f>
        <v>100 000 ч</v>
      </c>
      <c r="M37" s="325" t="str">
        <f>VLOOKUP($B37,Данные!$A$1:$U$1009,10,FALSE)</f>
        <v>530х100х133</v>
      </c>
      <c r="N37" s="325">
        <f>VLOOKUP($B37,Данные!$A$1:$U$1009,11,FALSE)</f>
        <v>0</v>
      </c>
      <c r="O37" s="328" t="str">
        <f>VLOOKUP($B37,Данные!$A$1:$U$1009,9,FALSE)</f>
        <v>-</v>
      </c>
      <c r="P37" s="29">
        <f>VLOOKUP($B37,Данные!$A$1:$U$1009,2,FALSE)</f>
        <v>64</v>
      </c>
      <c r="Q37" s="30">
        <f>VLOOKUP($B37,Данные!$A$1:$U$1009,3,FALSE)</f>
        <v>8960</v>
      </c>
      <c r="R37" s="31">
        <f t="shared" si="0"/>
        <v>140</v>
      </c>
      <c r="S37" s="36" t="str">
        <f>VLOOKUP($B37,Данные!$A$1:$U$1009,15,FALSE)</f>
        <v>5000К 4000К* 3000К*</v>
      </c>
      <c r="T37" s="36">
        <f>VLOOKUP($B37,Данные!$A$1:$U$1009,7,FALSE)</f>
        <v>67</v>
      </c>
      <c r="U37" s="109" t="str">
        <f>VLOOKUP($B37,Данные!$A$1:$U$1009,16,FALSE)</f>
        <v>5 лет</v>
      </c>
      <c r="V37" s="407">
        <v>4145</v>
      </c>
    </row>
    <row r="38" spans="1:22" ht="90" customHeight="1" thickBot="1">
      <c r="A38" s="372"/>
      <c r="B38" s="13" t="s">
        <v>566</v>
      </c>
      <c r="C38" s="191">
        <f>VLOOKUP(B38,Данные!A27:Z384,26,FALSE)</f>
        <v>2087</v>
      </c>
      <c r="D38" s="343"/>
      <c r="E38" s="345"/>
      <c r="F38" s="326" t="str">
        <f>VLOOKUP($B38,Данные!$A$1:$U$1009,6,FALSE)</f>
        <v>Л (полуширокая), 90 гр</v>
      </c>
      <c r="G38" s="326" t="str">
        <f>VLOOKUP($B38,Данные!$A$1:$U$1009,8,FALSE)</f>
        <v>Samsung LM281</v>
      </c>
      <c r="H38" s="326" t="str">
        <f>VLOOKUP($B38,Данные!$A$1:$U$1009,12,FALSE)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8" s="326" t="str">
        <f>VLOOKUP($B38,Данные!$A$1:$U$1009,4,FALSE)</f>
        <v>176-264В AС</v>
      </c>
      <c r="J38" s="326">
        <f>VLOOKUP($B38,Данные!$A$1:$U$1009,5,FALSE)</f>
        <v>0.95</v>
      </c>
      <c r="K38" s="326" t="str">
        <f>VLOOKUP($B38,Данные!$A$1:$U$1009,13,FALSE)</f>
        <v xml:space="preserve"> -60°...+50° С</v>
      </c>
      <c r="L38" s="326" t="str">
        <f>VLOOKUP($B38,Данные!$A$1:$U$1009,14,FALSE)</f>
        <v>100 000 ч</v>
      </c>
      <c r="M38" s="326" t="str">
        <f>VLOOKUP($B38,Данные!$A$1:$U$1009,10,FALSE)</f>
        <v>790х100х133</v>
      </c>
      <c r="N38" s="326">
        <f>VLOOKUP($B38,Данные!$A$1:$U$1009,11,FALSE)</f>
        <v>0</v>
      </c>
      <c r="O38" s="329" t="str">
        <f>VLOOKUP($B38,Данные!$A$1:$U$1009,9,FALSE)</f>
        <v>-</v>
      </c>
      <c r="P38" s="25">
        <f>VLOOKUP($B38,Данные!$A$1:$U$1009,2,FALSE)</f>
        <v>96</v>
      </c>
      <c r="Q38" s="26">
        <f>VLOOKUP($B38,Данные!$A$1:$U$1009,3,FALSE)</f>
        <v>13440</v>
      </c>
      <c r="R38" s="27">
        <f t="shared" si="0"/>
        <v>140</v>
      </c>
      <c r="S38" s="38" t="str">
        <f>VLOOKUP($B38,Данные!$A$1:$U$1009,15,FALSE)</f>
        <v>5000К 4000К* 3000К*</v>
      </c>
      <c r="T38" s="38">
        <f>VLOOKUP($B38,Данные!$A$1:$U$1009,7,FALSE)</f>
        <v>67</v>
      </c>
      <c r="U38" s="110" t="str">
        <f>VLOOKUP($B38,Данные!$A$1:$U$1009,16,FALSE)</f>
        <v>5 лет</v>
      </c>
      <c r="V38" s="408">
        <v>6365</v>
      </c>
    </row>
    <row r="39" spans="1:22" ht="90" customHeight="1">
      <c r="A39" s="349"/>
      <c r="B39" s="11" t="s">
        <v>191</v>
      </c>
      <c r="C39" s="190">
        <f>VLOOKUP(B39,Данные!A22:Z379,26,FALSE)</f>
        <v>2046</v>
      </c>
      <c r="D39" s="342" t="s">
        <v>33</v>
      </c>
      <c r="E39" s="344" t="str">
        <f>CONCATENATE(CONCATENATE("КСС: К / Г / Д / Л / Ш / М, боковая, осевая (в зав. от модели) ",$G$3,": ",$G39,CHAR(10),$H$3,": ",$H39,CHAR(10),$I$3,": ",$I39,CHAR(10),$J$3,": ",$J39,CHAR(10),$K$3,": ",$K39,CHAR(10),$L$3,": ",$L39,CHAR(10)),"*Цветовая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9" s="327" t="str">
        <f>VLOOKUP($B39,Данные!$A$1:$U$1009,6,FALSE)</f>
        <v>Л (полуширокая), 100 гр</v>
      </c>
      <c r="G39" s="327" t="str">
        <f>VLOOKUP($B39,Данные!$A$1:$U$1009,8,FALSE)</f>
        <v>Samsung LH351</v>
      </c>
      <c r="H39" s="327" t="str">
        <f>VLOOKUP($B39,Данные!$A$1:$U$1009,12,FALSE)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9" s="327" t="str">
        <f>VLOOKUP($B39,Данные!$A$1:$U$1009,4,FALSE)</f>
        <v>176-264В AС</v>
      </c>
      <c r="J39" s="327">
        <f>VLOOKUP($B39,Данные!$A$1:$U$1009,5,FALSE)</f>
        <v>0.95</v>
      </c>
      <c r="K39" s="327" t="str">
        <f>VLOOKUP($B39,Данные!$A$1:$U$1009,13,FALSE)</f>
        <v xml:space="preserve"> -60°...+50° С</v>
      </c>
      <c r="L39" s="327" t="str">
        <f>VLOOKUP($B39,Данные!$A$1:$U$1009,14,FALSE)</f>
        <v>100 000 ч</v>
      </c>
      <c r="M39" s="327" t="str">
        <f>VLOOKUP($B39,Данные!$A$1:$U$1009,10,FALSE)</f>
        <v>224х100х133</v>
      </c>
      <c r="N39" s="327">
        <f>VLOOKUP($B39,Данные!$A$1:$U$1009,11,FALSE)</f>
        <v>0</v>
      </c>
      <c r="O39" s="24" t="str">
        <f>VLOOKUP($B39,Данные!$A$1:$U$1009,9,FALSE)</f>
        <v>-</v>
      </c>
      <c r="P39" s="21">
        <f>VLOOKUP($B39,Данные!$A$1:$U$1009,2,FALSE)</f>
        <v>27</v>
      </c>
      <c r="Q39" s="22">
        <f>VLOOKUP($B39,Данные!$A$1:$U$1009,3,FALSE)</f>
        <v>3915</v>
      </c>
      <c r="R39" s="113">
        <f t="shared" si="0"/>
        <v>145</v>
      </c>
      <c r="S39" s="37" t="str">
        <f>VLOOKUP($B39,Данные!$A$1:$U$1009,15,FALSE)</f>
        <v>5000К 4000К* 3000К*</v>
      </c>
      <c r="T39" s="37">
        <f>VLOOKUP($B39,Данные!$A$1:$U$1009,7,FALSE)</f>
        <v>67</v>
      </c>
      <c r="U39" s="108" t="str">
        <f>VLOOKUP($B39,Данные!$A$1:$U$1009,16,FALSE)</f>
        <v>5 лет</v>
      </c>
      <c r="V39" s="406">
        <v>2920</v>
      </c>
    </row>
    <row r="40" spans="1:22" ht="90" customHeight="1">
      <c r="A40" s="350"/>
      <c r="B40" s="12" t="s">
        <v>192</v>
      </c>
      <c r="C40" s="192">
        <f>VLOOKUP(B40,Данные!A23:Z380,26,FALSE)</f>
        <v>2047</v>
      </c>
      <c r="D40" s="337"/>
      <c r="E40" s="338"/>
      <c r="F40" s="325" t="str">
        <f>VLOOKUP($B40,Данные!$A$1:$U$1009,6,FALSE)</f>
        <v>Л (полуширокая), 100 гр</v>
      </c>
      <c r="G40" s="325" t="str">
        <f>VLOOKUP($B40,Данные!$A$1:$U$1009,8,FALSE)</f>
        <v>Samsung LH351</v>
      </c>
      <c r="H40" s="325" t="str">
        <f>VLOOKUP($B40,Данные!$A$1:$U$1009,12,FALSE)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0" s="325" t="str">
        <f>VLOOKUP($B40,Данные!$A$1:$U$1009,4,FALSE)</f>
        <v>176-264В AС</v>
      </c>
      <c r="J40" s="325">
        <f>VLOOKUP($B40,Данные!$A$1:$U$1009,5,FALSE)</f>
        <v>0.95</v>
      </c>
      <c r="K40" s="325" t="str">
        <f>VLOOKUP($B40,Данные!$A$1:$U$1009,13,FALSE)</f>
        <v xml:space="preserve"> -60°...+50° С</v>
      </c>
      <c r="L40" s="325" t="str">
        <f>VLOOKUP($B40,Данные!$A$1:$U$1009,14,FALSE)</f>
        <v>100 000 ч</v>
      </c>
      <c r="M40" s="325" t="str">
        <f>VLOOKUP($B40,Данные!$A$1:$U$1009,10,FALSE)</f>
        <v>374х100х133</v>
      </c>
      <c r="N40" s="325">
        <f>VLOOKUP($B40,Данные!$A$1:$U$1009,11,FALSE)</f>
        <v>0</v>
      </c>
      <c r="O40" s="328" t="str">
        <f>VLOOKUP($B40,Данные!$A$1:$U$1009,9,FALSE)</f>
        <v>-</v>
      </c>
      <c r="P40" s="29">
        <f>VLOOKUP($B40,Данные!$A$1:$U$1009,2,FALSE)</f>
        <v>53</v>
      </c>
      <c r="Q40" s="30">
        <f>VLOOKUP($B40,Данные!$A$1:$U$1009,3,FALSE)</f>
        <v>7685</v>
      </c>
      <c r="R40" s="269">
        <f t="shared" si="0"/>
        <v>145</v>
      </c>
      <c r="S40" s="36" t="str">
        <f>VLOOKUP($B40,Данные!$A$1:$U$1009,15,FALSE)</f>
        <v>5000К 4000К* 3000К*</v>
      </c>
      <c r="T40" s="36">
        <f>VLOOKUP($B40,Данные!$A$1:$U$1009,7,FALSE)</f>
        <v>67</v>
      </c>
      <c r="U40" s="109" t="str">
        <f>VLOOKUP($B40,Данные!$A$1:$U$1009,16,FALSE)</f>
        <v>5 лет</v>
      </c>
      <c r="V40" s="407">
        <v>4585</v>
      </c>
    </row>
    <row r="41" spans="1:22" ht="90" customHeight="1" thickBot="1">
      <c r="A41" s="351"/>
      <c r="B41" s="13" t="s">
        <v>193</v>
      </c>
      <c r="C41" s="191">
        <f>VLOOKUP(B41,Данные!A24:Z381,26,FALSE)</f>
        <v>2048</v>
      </c>
      <c r="D41" s="343"/>
      <c r="E41" s="345"/>
      <c r="F41" s="326" t="str">
        <f>VLOOKUP($B41,Данные!$A$1:$U$1009,6,FALSE)</f>
        <v>Л (полуширокая), 100 гр</v>
      </c>
      <c r="G41" s="326" t="str">
        <f>VLOOKUP($B41,Данные!$A$1:$U$1009,8,FALSE)</f>
        <v>Samsung LH351</v>
      </c>
      <c r="H41" s="326" t="str">
        <f>VLOOKUP($B41,Данные!$A$1:$U$1009,12,FALSE)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1" s="326" t="str">
        <f>VLOOKUP($B41,Данные!$A$1:$U$1009,4,FALSE)</f>
        <v>176-264В AС</v>
      </c>
      <c r="J41" s="326">
        <f>VLOOKUP($B41,Данные!$A$1:$U$1009,5,FALSE)</f>
        <v>0.95</v>
      </c>
      <c r="K41" s="326" t="str">
        <f>VLOOKUP($B41,Данные!$A$1:$U$1009,13,FALSE)</f>
        <v xml:space="preserve"> -60°...+50° С</v>
      </c>
      <c r="L41" s="326" t="str">
        <f>VLOOKUP($B41,Данные!$A$1:$U$1009,14,FALSE)</f>
        <v>100 000 ч</v>
      </c>
      <c r="M41" s="326" t="str">
        <f>VLOOKUP($B41,Данные!$A$1:$U$1009,10,FALSE)</f>
        <v>548х100х133</v>
      </c>
      <c r="N41" s="326">
        <f>VLOOKUP($B41,Данные!$A$1:$U$1009,11,FALSE)</f>
        <v>0</v>
      </c>
      <c r="O41" s="329" t="str">
        <f>VLOOKUP($B41,Данные!$A$1:$U$1009,9,FALSE)</f>
        <v>-</v>
      </c>
      <c r="P41" s="25">
        <f>VLOOKUP($B41,Данные!$A$1:$U$1009,2,FALSE)</f>
        <v>79</v>
      </c>
      <c r="Q41" s="26">
        <f>VLOOKUP($B41,Данные!$A$1:$U$1009,3,FALSE)</f>
        <v>11455</v>
      </c>
      <c r="R41" s="114">
        <f t="shared" si="0"/>
        <v>145</v>
      </c>
      <c r="S41" s="38" t="str">
        <f>VLOOKUP($B41,Данные!$A$1:$U$1009,15,FALSE)</f>
        <v>5000К 4000К* 3000К*</v>
      </c>
      <c r="T41" s="38">
        <f>VLOOKUP($B41,Данные!$A$1:$U$1009,7,FALSE)</f>
        <v>67</v>
      </c>
      <c r="U41" s="110" t="str">
        <f>VLOOKUP($B41,Данные!$A$1:$U$1009,16,FALSE)</f>
        <v>5 лет</v>
      </c>
      <c r="V41" s="408">
        <v>6745</v>
      </c>
    </row>
    <row r="42" spans="1:22" ht="90" customHeight="1">
      <c r="A42" s="354"/>
      <c r="B42" s="11" t="s">
        <v>158</v>
      </c>
      <c r="C42" s="190">
        <f>VLOOKUP(B42,Данные!A25:Z382,26,FALSE)</f>
        <v>2013</v>
      </c>
      <c r="D42" s="342" t="s">
        <v>33</v>
      </c>
      <c r="E42" s="344" t="str">
        <f>CONCATENATE(CONCATENATE("КСС: К / Г / Д / Л / Ш / М, боковая, осевая (в зав. от модели) ",$G$3,": ",$G42,CHAR(10),$H$3,": ",$H42,CHAR(10),$I$3,": ",$I42,CHAR(10),$J$3,": ",$J42,CHAR(10),$K$3,": ",$K42,CHAR(10),$L$3,": ",$L42,CHAR(10)),"*Цветовая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2" s="78" t="str">
        <f>VLOOKUP($B42,Данные!$A$1:$U$1009,6,FALSE)</f>
        <v>К (концентрированная), 12 гр</v>
      </c>
      <c r="G42" s="78" t="str">
        <f>VLOOKUP($B42,Данные!$A$1:$U$1009,8,FALSE)</f>
        <v>Samsung LH351</v>
      </c>
      <c r="H42" s="78" t="str">
        <f>VLOOKUP($B42,Данные!$A$1:$U$1009,12,FALSE)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2" s="78" t="str">
        <f>VLOOKUP($B42,Данные!$A$1:$U$1009,4,FALSE)</f>
        <v>176-264В AС</v>
      </c>
      <c r="J42" s="78">
        <f>VLOOKUP($B42,Данные!$A$1:$U$1009,5,FALSE)</f>
        <v>0.95</v>
      </c>
      <c r="K42" s="78" t="str">
        <f>VLOOKUP($B42,Данные!$A$1:$U$1009,13,FALSE)</f>
        <v xml:space="preserve"> -60°...+50° С</v>
      </c>
      <c r="L42" s="78" t="str">
        <f>VLOOKUP($B42,Данные!$A$1:$U$1009,14,FALSE)</f>
        <v>100 000 ч</v>
      </c>
      <c r="M42" s="78" t="str">
        <f>VLOOKUP($B42,Данные!$A$1:$U$1009,10,FALSE)</f>
        <v>224х210х154</v>
      </c>
      <c r="N42" s="78">
        <f>VLOOKUP($B42,Данные!$A$1:$U$1009,11,FALSE)</f>
        <v>0</v>
      </c>
      <c r="O42" s="24" t="str">
        <f>VLOOKUP($B42,Данные!$A$1:$U$1009,9,FALSE)</f>
        <v>-</v>
      </c>
      <c r="P42" s="21">
        <f>VLOOKUP($B42,Данные!$A$1:$U$1009,2,FALSE)</f>
        <v>54</v>
      </c>
      <c r="Q42" s="22">
        <f>VLOOKUP($B42,Данные!$A$1:$U$1009,3,FALSE)</f>
        <v>7830</v>
      </c>
      <c r="R42" s="113">
        <f t="shared" si="0"/>
        <v>145</v>
      </c>
      <c r="S42" s="37" t="str">
        <f>VLOOKUP($B42,Данные!$A$1:$U$1009,15,FALSE)</f>
        <v>5000К 4000К* 3000К*</v>
      </c>
      <c r="T42" s="37">
        <f>VLOOKUP($B42,Данные!$A$1:$U$1009,7,FALSE)</f>
        <v>67</v>
      </c>
      <c r="U42" s="108" t="str">
        <f>VLOOKUP($B42,Данные!$A$1:$U$1009,16,FALSE)</f>
        <v>5 лет</v>
      </c>
      <c r="V42" s="406">
        <v>5835</v>
      </c>
    </row>
    <row r="43" spans="1:22" ht="90" customHeight="1">
      <c r="A43" s="355"/>
      <c r="B43" s="14" t="s">
        <v>159</v>
      </c>
      <c r="C43" s="188">
        <f>VLOOKUP(B43,Данные!A26:Z383,26,FALSE)</f>
        <v>2014</v>
      </c>
      <c r="D43" s="337"/>
      <c r="E43" s="338"/>
      <c r="F43" s="81" t="str">
        <f>VLOOKUP($B43,Данные!$A$1:$U$1009,6,FALSE)</f>
        <v>К (концентрированная), 12 гр</v>
      </c>
      <c r="G43" s="81" t="str">
        <f>VLOOKUP($B43,Данные!$A$1:$U$1009,8,FALSE)</f>
        <v>Samsung LH351</v>
      </c>
      <c r="H43" s="81" t="str">
        <f>VLOOKUP($B43,Данные!$A$1:$U$1009,12,FALSE)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3" s="81" t="str">
        <f>VLOOKUP($B43,Данные!$A$1:$U$1009,4,FALSE)</f>
        <v>176-264В AС</v>
      </c>
      <c r="J43" s="81">
        <f>VLOOKUP($B43,Данные!$A$1:$U$1009,5,FALSE)</f>
        <v>0.95</v>
      </c>
      <c r="K43" s="81" t="str">
        <f>VLOOKUP($B43,Данные!$A$1:$U$1009,13,FALSE)</f>
        <v xml:space="preserve"> -60°...+50° С</v>
      </c>
      <c r="L43" s="81" t="str">
        <f>VLOOKUP($B43,Данные!$A$1:$U$1009,14,FALSE)</f>
        <v>100 000 ч</v>
      </c>
      <c r="M43" s="81" t="str">
        <f>VLOOKUP($B43,Данные!$A$1:$U$1009,10,FALSE)</f>
        <v>374х210х154</v>
      </c>
      <c r="N43" s="81">
        <f>VLOOKUP($B43,Данные!$A$1:$U$1009,11,FALSE)</f>
        <v>0</v>
      </c>
      <c r="O43" s="32" t="str">
        <f>VLOOKUP($B43,Данные!$A$1:$U$1009,9,FALSE)</f>
        <v>-</v>
      </c>
      <c r="P43" s="29">
        <f>VLOOKUP($B43,Данные!$A$1:$U$1009,2,FALSE)</f>
        <v>106</v>
      </c>
      <c r="Q43" s="30">
        <f>VLOOKUP($B43,Данные!$A$1:$U$1009,3,FALSE)</f>
        <v>15370</v>
      </c>
      <c r="R43" s="269">
        <f t="shared" si="0"/>
        <v>145</v>
      </c>
      <c r="S43" s="36" t="str">
        <f>VLOOKUP($B43,Данные!$A$1:$U$1009,15,FALSE)</f>
        <v>5000К 4000К* 3000К*</v>
      </c>
      <c r="T43" s="36">
        <f>VLOOKUP($B43,Данные!$A$1:$U$1009,7,FALSE)</f>
        <v>67</v>
      </c>
      <c r="U43" s="109" t="str">
        <f>VLOOKUP($B43,Данные!$A$1:$U$1009,16,FALSE)</f>
        <v>5 лет</v>
      </c>
      <c r="V43" s="407">
        <v>9170</v>
      </c>
    </row>
    <row r="44" spans="1:22" ht="90" customHeight="1" thickBot="1">
      <c r="A44" s="355"/>
      <c r="B44" s="14" t="s">
        <v>160</v>
      </c>
      <c r="C44" s="188">
        <f>VLOOKUP(B44,Данные!A27:Z384,26,FALSE)</f>
        <v>2015</v>
      </c>
      <c r="D44" s="337"/>
      <c r="E44" s="345"/>
      <c r="F44" s="79" t="str">
        <f>VLOOKUP($B44,Данные!$A$1:$U$1009,6,FALSE)</f>
        <v>К (концентрированная), 12 гр</v>
      </c>
      <c r="G44" s="79" t="str">
        <f>VLOOKUP($B44,Данные!$A$1:$U$1009,8,FALSE)</f>
        <v>Samsung LH351</v>
      </c>
      <c r="H44" s="79" t="str">
        <f>VLOOKUP($B44,Данные!$A$1:$U$1009,12,FALSE)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4" s="79" t="str">
        <f>VLOOKUP($B44,Данные!$A$1:$U$1009,4,FALSE)</f>
        <v>176-264В AС</v>
      </c>
      <c r="J44" s="79">
        <f>VLOOKUP($B44,Данные!$A$1:$U$1009,5,FALSE)</f>
        <v>0.95</v>
      </c>
      <c r="K44" s="79" t="str">
        <f>VLOOKUP($B44,Данные!$A$1:$U$1009,13,FALSE)</f>
        <v xml:space="preserve"> -60°...+50° С</v>
      </c>
      <c r="L44" s="79" t="str">
        <f>VLOOKUP($B44,Данные!$A$1:$U$1009,14,FALSE)</f>
        <v>100 000 ч</v>
      </c>
      <c r="M44" s="79" t="str">
        <f>VLOOKUP($B44,Данные!$A$1:$U$1009,10,FALSE)</f>
        <v>548х210х154</v>
      </c>
      <c r="N44" s="79">
        <f>VLOOKUP($B44,Данные!$A$1:$U$1009,11,FALSE)</f>
        <v>0</v>
      </c>
      <c r="O44" s="28" t="str">
        <f>VLOOKUP($B44,Данные!$A$1:$U$1009,9,FALSE)</f>
        <v>-</v>
      </c>
      <c r="P44" s="25">
        <f>VLOOKUP($B44,Данные!$A$1:$U$1009,2,FALSE)</f>
        <v>158</v>
      </c>
      <c r="Q44" s="26">
        <f>VLOOKUP($B44,Данные!$A$1:$U$1009,3,FALSE)</f>
        <v>22910</v>
      </c>
      <c r="R44" s="114">
        <f t="shared" si="0"/>
        <v>145</v>
      </c>
      <c r="S44" s="38" t="str">
        <f>VLOOKUP($B44,Данные!$A$1:$U$1009,15,FALSE)</f>
        <v>5000К 4000К* 3000К*</v>
      </c>
      <c r="T44" s="38">
        <f>VLOOKUP($B44,Данные!$A$1:$U$1009,7,FALSE)</f>
        <v>67</v>
      </c>
      <c r="U44" s="110" t="str">
        <f>VLOOKUP($B44,Данные!$A$1:$U$1009,16,FALSE)</f>
        <v>5 лет</v>
      </c>
      <c r="V44" s="408">
        <v>13505</v>
      </c>
    </row>
    <row r="45" spans="1:22" ht="90" customHeight="1">
      <c r="A45" s="354"/>
      <c r="B45" s="11" t="s">
        <v>161</v>
      </c>
      <c r="C45" s="190">
        <f>VLOOKUP(B45,Данные!A28:Z385,26,FALSE)</f>
        <v>2016</v>
      </c>
      <c r="D45" s="342" t="s">
        <v>33</v>
      </c>
      <c r="E45" s="344" t="str">
        <f>CONCATENATE(CONCATENATE("КСС: К / Г / Д / Л / Ш / М, боковая, осевая (в зав. от модели) ",$G$3,": ",$G45,CHAR(10),$H$3,": ",$H45,CHAR(10),$I$3,": ",$I45,CHAR(10),$J$3,": ",$J45,CHAR(10),$K$3,": ",$K45,CHAR(10),$L$3,": ",$L45,CHAR(10)),"*Цветовая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5" s="78" t="str">
        <f>VLOOKUP($B45,Данные!$A$1:$U$1009,6,FALSE)</f>
        <v>К (концентрированная), 27 гр</v>
      </c>
      <c r="G45" s="78" t="str">
        <f>VLOOKUP($B45,Данные!$A$1:$U$1009,8,FALSE)</f>
        <v>Samsung LH351</v>
      </c>
      <c r="H45" s="78" t="str">
        <f>VLOOKUP($B45,Данные!$A$1:$U$1009,12,FALSE)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5" s="78" t="str">
        <f>VLOOKUP($B45,Данные!$A$1:$U$1009,4,FALSE)</f>
        <v>176-264В AС</v>
      </c>
      <c r="J45" s="78">
        <f>VLOOKUP($B45,Данные!$A$1:$U$1009,5,FALSE)</f>
        <v>0.95</v>
      </c>
      <c r="K45" s="78" t="str">
        <f>VLOOKUP($B45,Данные!$A$1:$U$1009,13,FALSE)</f>
        <v xml:space="preserve"> -60°...+50° С</v>
      </c>
      <c r="L45" s="78" t="str">
        <f>VLOOKUP($B45,Данные!$A$1:$U$1009,14,FALSE)</f>
        <v>100 000 ч</v>
      </c>
      <c r="M45" s="78" t="str">
        <f>VLOOKUP($B45,Данные!$A$1:$U$1009,10,FALSE)</f>
        <v>224х210х154</v>
      </c>
      <c r="N45" s="78">
        <f>VLOOKUP($B45,Данные!$A$1:$U$1009,11,FALSE)</f>
        <v>0</v>
      </c>
      <c r="O45" s="24" t="str">
        <f>VLOOKUP($B45,Данные!$A$1:$U$1009,9,FALSE)</f>
        <v>-</v>
      </c>
      <c r="P45" s="21">
        <f>VLOOKUP($B45,Данные!$A$1:$U$1009,2,FALSE)</f>
        <v>54</v>
      </c>
      <c r="Q45" s="22">
        <f>VLOOKUP($B45,Данные!$A$1:$U$1009,3,FALSE)</f>
        <v>7830</v>
      </c>
      <c r="R45" s="113">
        <f t="shared" si="0"/>
        <v>145</v>
      </c>
      <c r="S45" s="37" t="str">
        <f>VLOOKUP($B45,Данные!$A$1:$U$1009,15,FALSE)</f>
        <v>5000К 4000К* 3000К*</v>
      </c>
      <c r="T45" s="37">
        <f>VLOOKUP($B45,Данные!$A$1:$U$1009,7,FALSE)</f>
        <v>67</v>
      </c>
      <c r="U45" s="108" t="str">
        <f>VLOOKUP($B45,Данные!$A$1:$U$1009,16,FALSE)</f>
        <v>5 лет</v>
      </c>
      <c r="V45" s="406">
        <v>5835</v>
      </c>
    </row>
    <row r="46" spans="1:22" ht="90" customHeight="1">
      <c r="A46" s="355"/>
      <c r="B46" s="14" t="s">
        <v>162</v>
      </c>
      <c r="C46" s="188">
        <f>VLOOKUP(B46,Данные!A29:Z386,26,FALSE)</f>
        <v>2017</v>
      </c>
      <c r="D46" s="337"/>
      <c r="E46" s="338"/>
      <c r="F46" s="81" t="str">
        <f>VLOOKUP($B46,Данные!$A$1:$U$1009,6,FALSE)</f>
        <v>К (концентрированная), 27 гр</v>
      </c>
      <c r="G46" s="81" t="str">
        <f>VLOOKUP($B46,Данные!$A$1:$U$1009,8,FALSE)</f>
        <v>Samsung LH351</v>
      </c>
      <c r="H46" s="81" t="str">
        <f>VLOOKUP($B46,Данные!$A$1:$U$1009,12,FALSE)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6" s="81" t="str">
        <f>VLOOKUP($B46,Данные!$A$1:$U$1009,4,FALSE)</f>
        <v>176-264В AС</v>
      </c>
      <c r="J46" s="81">
        <f>VLOOKUP($B46,Данные!$A$1:$U$1009,5,FALSE)</f>
        <v>0.95</v>
      </c>
      <c r="K46" s="81" t="str">
        <f>VLOOKUP($B46,Данные!$A$1:$U$1009,13,FALSE)</f>
        <v xml:space="preserve"> -60°...+50° С</v>
      </c>
      <c r="L46" s="81" t="str">
        <f>VLOOKUP($B46,Данные!$A$1:$U$1009,14,FALSE)</f>
        <v>100 000 ч</v>
      </c>
      <c r="M46" s="81" t="str">
        <f>VLOOKUP($B46,Данные!$A$1:$U$1009,10,FALSE)</f>
        <v>374х210х154</v>
      </c>
      <c r="N46" s="81">
        <f>VLOOKUP($B46,Данные!$A$1:$U$1009,11,FALSE)</f>
        <v>0</v>
      </c>
      <c r="O46" s="32" t="str">
        <f>VLOOKUP($B46,Данные!$A$1:$U$1009,9,FALSE)</f>
        <v>-</v>
      </c>
      <c r="P46" s="29">
        <f>VLOOKUP($B46,Данные!$A$1:$U$1009,2,FALSE)</f>
        <v>106</v>
      </c>
      <c r="Q46" s="30">
        <f>VLOOKUP($B46,Данные!$A$1:$U$1009,3,FALSE)</f>
        <v>15370</v>
      </c>
      <c r="R46" s="269">
        <f t="shared" si="0"/>
        <v>145</v>
      </c>
      <c r="S46" s="36" t="str">
        <f>VLOOKUP($B46,Данные!$A$1:$U$1009,15,FALSE)</f>
        <v>5000К 4000К* 3000К*</v>
      </c>
      <c r="T46" s="36">
        <f>VLOOKUP($B46,Данные!$A$1:$U$1009,7,FALSE)</f>
        <v>67</v>
      </c>
      <c r="U46" s="109" t="str">
        <f>VLOOKUP($B46,Данные!$A$1:$U$1009,16,FALSE)</f>
        <v>5 лет</v>
      </c>
      <c r="V46" s="407">
        <v>9170</v>
      </c>
    </row>
    <row r="47" spans="1:22" ht="90" customHeight="1" thickBot="1">
      <c r="A47" s="355"/>
      <c r="B47" s="14" t="s">
        <v>163</v>
      </c>
      <c r="C47" s="188">
        <f>VLOOKUP(B47,Данные!A30:Z387,26,FALSE)</f>
        <v>2018</v>
      </c>
      <c r="D47" s="337"/>
      <c r="E47" s="345"/>
      <c r="F47" s="79" t="str">
        <f>VLOOKUP($B47,Данные!$A$1:$U$1009,6,FALSE)</f>
        <v>К (концентрированная), 27 гр</v>
      </c>
      <c r="G47" s="79" t="str">
        <f>VLOOKUP($B47,Данные!$A$1:$U$1009,8,FALSE)</f>
        <v>Samsung LH351</v>
      </c>
      <c r="H47" s="79" t="str">
        <f>VLOOKUP($B47,Данные!$A$1:$U$1009,12,FALSE)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7" s="79" t="str">
        <f>VLOOKUP($B47,Данные!$A$1:$U$1009,4,FALSE)</f>
        <v>176-264В AС</v>
      </c>
      <c r="J47" s="79">
        <f>VLOOKUP($B47,Данные!$A$1:$U$1009,5,FALSE)</f>
        <v>0.95</v>
      </c>
      <c r="K47" s="79" t="str">
        <f>VLOOKUP($B47,Данные!$A$1:$U$1009,13,FALSE)</f>
        <v xml:space="preserve"> -60°...+50° С</v>
      </c>
      <c r="L47" s="79" t="str">
        <f>VLOOKUP($B47,Данные!$A$1:$U$1009,14,FALSE)</f>
        <v>100 000 ч</v>
      </c>
      <c r="M47" s="79" t="str">
        <f>VLOOKUP($B47,Данные!$A$1:$U$1009,10,FALSE)</f>
        <v>548х210х154</v>
      </c>
      <c r="N47" s="79">
        <f>VLOOKUP($B47,Данные!$A$1:$U$1009,11,FALSE)</f>
        <v>0</v>
      </c>
      <c r="O47" s="28" t="str">
        <f>VLOOKUP($B47,Данные!$A$1:$U$1009,9,FALSE)</f>
        <v>-</v>
      </c>
      <c r="P47" s="25">
        <f>VLOOKUP($B47,Данные!$A$1:$U$1009,2,FALSE)</f>
        <v>158</v>
      </c>
      <c r="Q47" s="26">
        <f>VLOOKUP($B47,Данные!$A$1:$U$1009,3,FALSE)</f>
        <v>22910</v>
      </c>
      <c r="R47" s="114">
        <f t="shared" si="0"/>
        <v>145</v>
      </c>
      <c r="S47" s="38" t="str">
        <f>VLOOKUP($B47,Данные!$A$1:$U$1009,15,FALSE)</f>
        <v>5000К 4000К* 3000К*</v>
      </c>
      <c r="T47" s="38">
        <f>VLOOKUP($B47,Данные!$A$1:$U$1009,7,FALSE)</f>
        <v>67</v>
      </c>
      <c r="U47" s="110" t="str">
        <f>VLOOKUP($B47,Данные!$A$1:$U$1009,16,FALSE)</f>
        <v>5 лет</v>
      </c>
      <c r="V47" s="408">
        <v>13505</v>
      </c>
    </row>
    <row r="48" spans="1:22" ht="90" customHeight="1">
      <c r="A48" s="354"/>
      <c r="B48" s="11" t="s">
        <v>164</v>
      </c>
      <c r="C48" s="190">
        <f>VLOOKUP(B48,Данные!A31:Z388,26,FALSE)</f>
        <v>2019</v>
      </c>
      <c r="D48" s="342" t="s">
        <v>33</v>
      </c>
      <c r="E48" s="344" t="str">
        <f>CONCATENATE(CONCATENATE("КСС: К / Г / Д / Л / Ш / М, боковая, осевая (в зав. от модели) ",$G$3,": ",$G48,CHAR(10),$H$3,": ",$H48,CHAR(10),$I$3,": ",$I48,CHAR(10),$J$3,": ",$J48,CHAR(10),$K$3,": ",$K48,CHAR(10),$L$3,": ",$L48,CHAR(10)),"*Цветовая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8" s="78" t="str">
        <f>VLOOKUP($B48,Данные!$A$1:$U$1009,6,FALSE)</f>
        <v>Г (глубокая), 58 гр</v>
      </c>
      <c r="G48" s="78" t="str">
        <f>VLOOKUP($B48,Данные!$A$1:$U$1009,8,FALSE)</f>
        <v>Samsung LH351</v>
      </c>
      <c r="H48" s="78" t="str">
        <f>VLOOKUP($B48,Данные!$A$1:$U$1009,12,FALSE)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8" s="78" t="str">
        <f>VLOOKUP($B48,Данные!$A$1:$U$1009,4,FALSE)</f>
        <v>176-264В AС</v>
      </c>
      <c r="J48" s="78">
        <f>VLOOKUP($B48,Данные!$A$1:$U$1009,5,FALSE)</f>
        <v>0.95</v>
      </c>
      <c r="K48" s="78" t="str">
        <f>VLOOKUP($B48,Данные!$A$1:$U$1009,13,FALSE)</f>
        <v xml:space="preserve"> -60°...+50° С</v>
      </c>
      <c r="L48" s="78" t="str">
        <f>VLOOKUP($B48,Данные!$A$1:$U$1009,14,FALSE)</f>
        <v>100 000 ч</v>
      </c>
      <c r="M48" s="78" t="str">
        <f>VLOOKUP($B48,Данные!$A$1:$U$1009,10,FALSE)</f>
        <v>224х210х154</v>
      </c>
      <c r="N48" s="78">
        <f>VLOOKUP($B48,Данные!$A$1:$U$1009,11,FALSE)</f>
        <v>0</v>
      </c>
      <c r="O48" s="24" t="str">
        <f>VLOOKUP($B48,Данные!$A$1:$U$1009,9,FALSE)</f>
        <v>-</v>
      </c>
      <c r="P48" s="21">
        <f>VLOOKUP($B48,Данные!$A$1:$U$1009,2,FALSE)</f>
        <v>54</v>
      </c>
      <c r="Q48" s="22">
        <f>VLOOKUP($B48,Данные!$A$1:$U$1009,3,FALSE)</f>
        <v>7830</v>
      </c>
      <c r="R48" s="113">
        <f t="shared" si="0"/>
        <v>145</v>
      </c>
      <c r="S48" s="37" t="str">
        <f>VLOOKUP($B48,Данные!$A$1:$U$1009,15,FALSE)</f>
        <v>5000К 4000К* 3000К*</v>
      </c>
      <c r="T48" s="37">
        <f>VLOOKUP($B48,Данные!$A$1:$U$1009,7,FALSE)</f>
        <v>67</v>
      </c>
      <c r="U48" s="108" t="str">
        <f>VLOOKUP($B48,Данные!$A$1:$U$1009,16,FALSE)</f>
        <v>5 лет</v>
      </c>
      <c r="V48" s="406">
        <v>5835</v>
      </c>
    </row>
    <row r="49" spans="1:22" ht="90" customHeight="1">
      <c r="A49" s="355"/>
      <c r="B49" s="14" t="s">
        <v>165</v>
      </c>
      <c r="C49" s="188">
        <f>VLOOKUP(B49,Данные!A32:Z389,26,FALSE)</f>
        <v>2020</v>
      </c>
      <c r="D49" s="337"/>
      <c r="E49" s="338"/>
      <c r="F49" s="81" t="str">
        <f>VLOOKUP($B49,Данные!$A$1:$U$1009,6,FALSE)</f>
        <v>Г (глубокая), 58 гр</v>
      </c>
      <c r="G49" s="81" t="str">
        <f>VLOOKUP($B49,Данные!$A$1:$U$1009,8,FALSE)</f>
        <v>Samsung LH351</v>
      </c>
      <c r="H49" s="81" t="str">
        <f>VLOOKUP($B49,Данные!$A$1:$U$1009,12,FALSE)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9" s="81" t="str">
        <f>VLOOKUP($B49,Данные!$A$1:$U$1009,4,FALSE)</f>
        <v>176-264В AС</v>
      </c>
      <c r="J49" s="81">
        <f>VLOOKUP($B49,Данные!$A$1:$U$1009,5,FALSE)</f>
        <v>0.95</v>
      </c>
      <c r="K49" s="81" t="str">
        <f>VLOOKUP($B49,Данные!$A$1:$U$1009,13,FALSE)</f>
        <v xml:space="preserve"> -60°...+50° С</v>
      </c>
      <c r="L49" s="81" t="str">
        <f>VLOOKUP($B49,Данные!$A$1:$U$1009,14,FALSE)</f>
        <v>100 000 ч</v>
      </c>
      <c r="M49" s="81" t="str">
        <f>VLOOKUP($B49,Данные!$A$1:$U$1009,10,FALSE)</f>
        <v>374х210х154</v>
      </c>
      <c r="N49" s="81">
        <f>VLOOKUP($B49,Данные!$A$1:$U$1009,11,FALSE)</f>
        <v>0</v>
      </c>
      <c r="O49" s="32" t="str">
        <f>VLOOKUP($B49,Данные!$A$1:$U$1009,9,FALSE)</f>
        <v>-</v>
      </c>
      <c r="P49" s="29">
        <f>VLOOKUP($B49,Данные!$A$1:$U$1009,2,FALSE)</f>
        <v>106</v>
      </c>
      <c r="Q49" s="30">
        <f>VLOOKUP($B49,Данные!$A$1:$U$1009,3,FALSE)</f>
        <v>15370</v>
      </c>
      <c r="R49" s="269">
        <f t="shared" si="0"/>
        <v>145</v>
      </c>
      <c r="S49" s="36" t="str">
        <f>VLOOKUP($B49,Данные!$A$1:$U$1009,15,FALSE)</f>
        <v>5000К 4000К* 3000К*</v>
      </c>
      <c r="T49" s="36">
        <f>VLOOKUP($B49,Данные!$A$1:$U$1009,7,FALSE)</f>
        <v>67</v>
      </c>
      <c r="U49" s="109" t="str">
        <f>VLOOKUP($B49,Данные!$A$1:$U$1009,16,FALSE)</f>
        <v>5 лет</v>
      </c>
      <c r="V49" s="407">
        <v>9170</v>
      </c>
    </row>
    <row r="50" spans="1:22" ht="90" customHeight="1" thickBot="1">
      <c r="A50" s="355"/>
      <c r="B50" s="14" t="s">
        <v>166</v>
      </c>
      <c r="C50" s="188">
        <f>VLOOKUP(B50,Данные!A33:Z390,26,FALSE)</f>
        <v>2021</v>
      </c>
      <c r="D50" s="337"/>
      <c r="E50" s="345"/>
      <c r="F50" s="79" t="str">
        <f>VLOOKUP($B50,Данные!$A$1:$U$1009,6,FALSE)</f>
        <v>Г (глубокая), 58 гр</v>
      </c>
      <c r="G50" s="79" t="str">
        <f>VLOOKUP($B50,Данные!$A$1:$U$1009,8,FALSE)</f>
        <v>Samsung LH351</v>
      </c>
      <c r="H50" s="79" t="str">
        <f>VLOOKUP($B50,Данные!$A$1:$U$1009,12,FALSE)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0" s="79" t="str">
        <f>VLOOKUP($B50,Данные!$A$1:$U$1009,4,FALSE)</f>
        <v>176-264В AС</v>
      </c>
      <c r="J50" s="79">
        <f>VLOOKUP($B50,Данные!$A$1:$U$1009,5,FALSE)</f>
        <v>0.95</v>
      </c>
      <c r="K50" s="79" t="str">
        <f>VLOOKUP($B50,Данные!$A$1:$U$1009,13,FALSE)</f>
        <v xml:space="preserve"> -60°...+50° С</v>
      </c>
      <c r="L50" s="79" t="str">
        <f>VLOOKUP($B50,Данные!$A$1:$U$1009,14,FALSE)</f>
        <v>100 000 ч</v>
      </c>
      <c r="M50" s="79" t="str">
        <f>VLOOKUP($B50,Данные!$A$1:$U$1009,10,FALSE)</f>
        <v>548х210х154</v>
      </c>
      <c r="N50" s="79">
        <f>VLOOKUP($B50,Данные!$A$1:$U$1009,11,FALSE)</f>
        <v>0</v>
      </c>
      <c r="O50" s="28" t="str">
        <f>VLOOKUP($B50,Данные!$A$1:$U$1009,9,FALSE)</f>
        <v>-</v>
      </c>
      <c r="P50" s="25">
        <f>VLOOKUP($B50,Данные!$A$1:$U$1009,2,FALSE)</f>
        <v>158</v>
      </c>
      <c r="Q50" s="26">
        <f>VLOOKUP($B50,Данные!$A$1:$U$1009,3,FALSE)</f>
        <v>22910</v>
      </c>
      <c r="R50" s="114">
        <f t="shared" si="0"/>
        <v>145</v>
      </c>
      <c r="S50" s="38" t="str">
        <f>VLOOKUP($B50,Данные!$A$1:$U$1009,15,FALSE)</f>
        <v>5000К 4000К* 3000К*</v>
      </c>
      <c r="T50" s="38">
        <f>VLOOKUP($B50,Данные!$A$1:$U$1009,7,FALSE)</f>
        <v>67</v>
      </c>
      <c r="U50" s="110" t="str">
        <f>VLOOKUP($B50,Данные!$A$1:$U$1009,16,FALSE)</f>
        <v>5 лет</v>
      </c>
      <c r="V50" s="408">
        <v>13505</v>
      </c>
    </row>
    <row r="51" spans="1:22" ht="90" customHeight="1">
      <c r="A51" s="354"/>
      <c r="B51" s="11" t="s">
        <v>167</v>
      </c>
      <c r="C51" s="190">
        <f>VLOOKUP(B51,Данные!A34:Z391,26,FALSE)</f>
        <v>2022</v>
      </c>
      <c r="D51" s="342" t="s">
        <v>33</v>
      </c>
      <c r="E51" s="344" t="str">
        <f>CONCATENATE(CONCATENATE("КСС: К / Г / Д / Л / Ш / М, боковая, осевая (в зав. от модели) ",$G$3,": ",$G51,CHAR(10),$H$3,": ",$H51,CHAR(10),$I$3,": ",$I51,CHAR(10),$J$3,": ",$J51,CHAR(10),$K$3,": ",$K51,CHAR(10),$L$3,": ",$L51,CHAR(10)),"*Цветовая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51" s="180" t="str">
        <f>VLOOKUP($B51,Данные!$A$1:$U$1009,6,FALSE)</f>
        <v>Л (полуширокая), 100 гр</v>
      </c>
      <c r="G51" s="180" t="str">
        <f>VLOOKUP($B51,Данные!$A$1:$U$1009,8,FALSE)</f>
        <v>Samsung LH351</v>
      </c>
      <c r="H51" s="180" t="str">
        <f>VLOOKUP($B51,Данные!$A$1:$U$1009,12,FALSE)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1" s="180" t="str">
        <f>VLOOKUP($B51,Данные!$A$1:$U$1009,4,FALSE)</f>
        <v>176-264В AС</v>
      </c>
      <c r="J51" s="180">
        <f>VLOOKUP($B51,Данные!$A$1:$U$1009,5,FALSE)</f>
        <v>0.95</v>
      </c>
      <c r="K51" s="180" t="str">
        <f>VLOOKUP($B51,Данные!$A$1:$U$1009,13,FALSE)</f>
        <v xml:space="preserve"> -60°...+50° С</v>
      </c>
      <c r="L51" s="180" t="str">
        <f>VLOOKUP($B51,Данные!$A$1:$U$1009,14,FALSE)</f>
        <v>100 000 ч</v>
      </c>
      <c r="M51" s="180" t="str">
        <f>VLOOKUP($B51,Данные!$A$1:$U$1009,10,FALSE)</f>
        <v>224х210х154</v>
      </c>
      <c r="N51" s="180">
        <f>VLOOKUP($B51,Данные!$A$1:$U$1009,11,FALSE)</f>
        <v>0</v>
      </c>
      <c r="O51" s="24" t="str">
        <f>VLOOKUP($B51,Данные!$A$1:$U$1009,9,FALSE)</f>
        <v>-</v>
      </c>
      <c r="P51" s="21">
        <f>VLOOKUP($B51,Данные!$A$1:$U$1009,2,FALSE)</f>
        <v>54</v>
      </c>
      <c r="Q51" s="22">
        <f>VLOOKUP($B51,Данные!$A$1:$U$1009,3,FALSE)</f>
        <v>7830</v>
      </c>
      <c r="R51" s="113">
        <f t="shared" ref="R51:R53" si="5">Q51/P51</f>
        <v>145</v>
      </c>
      <c r="S51" s="37" t="str">
        <f>VLOOKUP($B51,Данные!$A$1:$U$1009,15,FALSE)</f>
        <v>5000К 4000К* 3000К*</v>
      </c>
      <c r="T51" s="37">
        <f>VLOOKUP($B51,Данные!$A$1:$U$1009,7,FALSE)</f>
        <v>67</v>
      </c>
      <c r="U51" s="108" t="str">
        <f>VLOOKUP($B51,Данные!$A$1:$U$1009,16,FALSE)</f>
        <v>5 лет</v>
      </c>
      <c r="V51" s="406">
        <v>5835</v>
      </c>
    </row>
    <row r="52" spans="1:22" ht="90" customHeight="1">
      <c r="A52" s="355"/>
      <c r="B52" s="14" t="s">
        <v>168</v>
      </c>
      <c r="C52" s="188">
        <f>VLOOKUP(B52,Данные!A35:Z392,26,FALSE)</f>
        <v>2023</v>
      </c>
      <c r="D52" s="337"/>
      <c r="E52" s="338"/>
      <c r="F52" s="181" t="str">
        <f>VLOOKUP($B52,Данные!$A$1:$U$1009,6,FALSE)</f>
        <v>Л (полуширокая), 100 гр</v>
      </c>
      <c r="G52" s="181" t="str">
        <f>VLOOKUP($B52,Данные!$A$1:$U$1009,8,FALSE)</f>
        <v>Samsung LH351</v>
      </c>
      <c r="H52" s="181" t="str">
        <f>VLOOKUP($B52,Данные!$A$1:$U$1009,12,FALSE)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2" s="181" t="str">
        <f>VLOOKUP($B52,Данные!$A$1:$U$1009,4,FALSE)</f>
        <v>176-264В AС</v>
      </c>
      <c r="J52" s="181">
        <f>VLOOKUP($B52,Данные!$A$1:$U$1009,5,FALSE)</f>
        <v>0.95</v>
      </c>
      <c r="K52" s="181" t="str">
        <f>VLOOKUP($B52,Данные!$A$1:$U$1009,13,FALSE)</f>
        <v xml:space="preserve"> -60°...+50° С</v>
      </c>
      <c r="L52" s="181" t="str">
        <f>VLOOKUP($B52,Данные!$A$1:$U$1009,14,FALSE)</f>
        <v>100 000 ч</v>
      </c>
      <c r="M52" s="181" t="str">
        <f>VLOOKUP($B52,Данные!$A$1:$U$1009,10,FALSE)</f>
        <v>374х210х154</v>
      </c>
      <c r="N52" s="181">
        <f>VLOOKUP($B52,Данные!$A$1:$U$1009,11,FALSE)</f>
        <v>0</v>
      </c>
      <c r="O52" s="183" t="str">
        <f>VLOOKUP($B52,Данные!$A$1:$U$1009,9,FALSE)</f>
        <v>-</v>
      </c>
      <c r="P52" s="29">
        <f>VLOOKUP($B52,Данные!$A$1:$U$1009,2,FALSE)</f>
        <v>106</v>
      </c>
      <c r="Q52" s="30">
        <f>VLOOKUP($B52,Данные!$A$1:$U$1009,3,FALSE)</f>
        <v>15370</v>
      </c>
      <c r="R52" s="269">
        <f t="shared" si="5"/>
        <v>145</v>
      </c>
      <c r="S52" s="36" t="str">
        <f>VLOOKUP($B52,Данные!$A$1:$U$1009,15,FALSE)</f>
        <v>5000К 4000К* 3000К*</v>
      </c>
      <c r="T52" s="36">
        <f>VLOOKUP($B52,Данные!$A$1:$U$1009,7,FALSE)</f>
        <v>67</v>
      </c>
      <c r="U52" s="109" t="str">
        <f>VLOOKUP($B52,Данные!$A$1:$U$1009,16,FALSE)</f>
        <v>5 лет</v>
      </c>
      <c r="V52" s="407">
        <v>9170</v>
      </c>
    </row>
    <row r="53" spans="1:22" ht="90" customHeight="1" thickBot="1">
      <c r="A53" s="355"/>
      <c r="B53" s="14" t="s">
        <v>169</v>
      </c>
      <c r="C53" s="188">
        <f>VLOOKUP(B53,Данные!A36:Z393,26,FALSE)</f>
        <v>2024</v>
      </c>
      <c r="D53" s="337"/>
      <c r="E53" s="345"/>
      <c r="F53" s="182" t="str">
        <f>VLOOKUP($B53,Данные!$A$1:$U$1009,6,FALSE)</f>
        <v>Л (полуширокая), 100 гр</v>
      </c>
      <c r="G53" s="182" t="str">
        <f>VLOOKUP($B53,Данные!$A$1:$U$1009,8,FALSE)</f>
        <v>Samsung LH351</v>
      </c>
      <c r="H53" s="182" t="str">
        <f>VLOOKUP($B53,Данные!$A$1:$U$1009,12,FALSE)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3" s="182" t="str">
        <f>VLOOKUP($B53,Данные!$A$1:$U$1009,4,FALSE)</f>
        <v>176-264В AС</v>
      </c>
      <c r="J53" s="182">
        <f>VLOOKUP($B53,Данные!$A$1:$U$1009,5,FALSE)</f>
        <v>0.95</v>
      </c>
      <c r="K53" s="182" t="str">
        <f>VLOOKUP($B53,Данные!$A$1:$U$1009,13,FALSE)</f>
        <v xml:space="preserve"> -60°...+50° С</v>
      </c>
      <c r="L53" s="182" t="str">
        <f>VLOOKUP($B53,Данные!$A$1:$U$1009,14,FALSE)</f>
        <v>100 000 ч</v>
      </c>
      <c r="M53" s="182" t="str">
        <f>VLOOKUP($B53,Данные!$A$1:$U$1009,10,FALSE)</f>
        <v>548х210х154</v>
      </c>
      <c r="N53" s="182">
        <f>VLOOKUP($B53,Данные!$A$1:$U$1009,11,FALSE)</f>
        <v>0</v>
      </c>
      <c r="O53" s="184" t="str">
        <f>VLOOKUP($B53,Данные!$A$1:$U$1009,9,FALSE)</f>
        <v>-</v>
      </c>
      <c r="P53" s="25">
        <f>VLOOKUP($B53,Данные!$A$1:$U$1009,2,FALSE)</f>
        <v>158</v>
      </c>
      <c r="Q53" s="26">
        <f>VLOOKUP($B53,Данные!$A$1:$U$1009,3,FALSE)</f>
        <v>22910</v>
      </c>
      <c r="R53" s="114">
        <f t="shared" si="5"/>
        <v>145</v>
      </c>
      <c r="S53" s="38" t="str">
        <f>VLOOKUP($B53,Данные!$A$1:$U$1009,15,FALSE)</f>
        <v>5000К 4000К* 3000К*</v>
      </c>
      <c r="T53" s="38">
        <f>VLOOKUP($B53,Данные!$A$1:$U$1009,7,FALSE)</f>
        <v>67</v>
      </c>
      <c r="U53" s="110" t="str">
        <f>VLOOKUP($B53,Данные!$A$1:$U$1009,16,FALSE)</f>
        <v>5 лет</v>
      </c>
      <c r="V53" s="408">
        <v>13505</v>
      </c>
    </row>
    <row r="54" spans="1:22" ht="90" customHeight="1">
      <c r="A54" s="354"/>
      <c r="B54" s="11" t="s">
        <v>194</v>
      </c>
      <c r="C54" s="190">
        <f>VLOOKUP(B54,Данные!A37:Z394,26,FALSE)</f>
        <v>2049</v>
      </c>
      <c r="D54" s="342" t="s">
        <v>33</v>
      </c>
      <c r="E54" s="344" t="str">
        <f>CONCATENATE(CONCATENATE("КСС: К / Г / Д / Л / Ш / М, боковая, осевая (в зав. от модели) ",$G$3,": ",$G54,CHAR(10),$H$3,": ",$H54,CHAR(10),$I$3,": ",$I54,CHAR(10),$J$3,": ",$J54,CHAR(10),$K$3,": ",$K54,CHAR(10),$L$3,": ",$L54,CHAR(10)),"*Цветовая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54" s="78" t="str">
        <f>VLOOKUP($B54,Данные!$A$1:$U$1009,6,FALSE)</f>
        <v>К (концентрированная), 12 гр</v>
      </c>
      <c r="G54" s="78" t="str">
        <f>VLOOKUP($B54,Данные!$A$1:$U$1009,8,FALSE)</f>
        <v>Samsung LH351</v>
      </c>
      <c r="H54" s="78" t="str">
        <f>VLOOKUP($B54,Данные!$A$1:$U$1009,12,FALSE)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4" s="78" t="str">
        <f>VLOOKUP($B54,Данные!$A$1:$U$1009,4,FALSE)</f>
        <v>176-264В AС</v>
      </c>
      <c r="J54" s="78">
        <f>VLOOKUP($B54,Данные!$A$1:$U$1009,5,FALSE)</f>
        <v>0.95</v>
      </c>
      <c r="K54" s="78" t="str">
        <f>VLOOKUP($B54,Данные!$A$1:$U$1009,13,FALSE)</f>
        <v xml:space="preserve"> -60°...+50° С</v>
      </c>
      <c r="L54" s="78" t="str">
        <f>VLOOKUP($B54,Данные!$A$1:$U$1009,14,FALSE)</f>
        <v>100 000 ч</v>
      </c>
      <c r="M54" s="78" t="str">
        <f>VLOOKUP($B54,Данные!$A$1:$U$1009,10,FALSE)</f>
        <v>224х262х87</v>
      </c>
      <c r="N54" s="78">
        <f>VLOOKUP($B54,Данные!$A$1:$U$1009,11,FALSE)</f>
        <v>0</v>
      </c>
      <c r="O54" s="24" t="str">
        <f>VLOOKUP($B54,Данные!$A$1:$U$1009,9,FALSE)</f>
        <v>-</v>
      </c>
      <c r="P54" s="21">
        <f>VLOOKUP($B54,Данные!$A$1:$U$1009,2,FALSE)</f>
        <v>54</v>
      </c>
      <c r="Q54" s="22">
        <f>VLOOKUP($B54,Данные!$A$1:$U$1009,3,FALSE)</f>
        <v>7830</v>
      </c>
      <c r="R54" s="113">
        <f t="shared" si="0"/>
        <v>145</v>
      </c>
      <c r="S54" s="37" t="str">
        <f>VLOOKUP($B54,Данные!$A$1:$U$1009,15,FALSE)</f>
        <v>5000К 4000К* 3000К*</v>
      </c>
      <c r="T54" s="37">
        <f>VLOOKUP($B54,Данные!$A$1:$U$1009,7,FALSE)</f>
        <v>67</v>
      </c>
      <c r="U54" s="108" t="str">
        <f>VLOOKUP($B54,Данные!$A$1:$U$1009,16,FALSE)</f>
        <v>5 лет</v>
      </c>
      <c r="V54" s="406">
        <v>5835</v>
      </c>
    </row>
    <row r="55" spans="1:22" ht="90" customHeight="1">
      <c r="A55" s="355"/>
      <c r="B55" s="14" t="s">
        <v>195</v>
      </c>
      <c r="C55" s="188">
        <f>VLOOKUP(B55,Данные!A38:Z395,26,FALSE)</f>
        <v>2050</v>
      </c>
      <c r="D55" s="337"/>
      <c r="E55" s="338"/>
      <c r="F55" s="81" t="str">
        <f>VLOOKUP($B55,Данные!$A$1:$U$1009,6,FALSE)</f>
        <v>К (концентрированная), 12 гр</v>
      </c>
      <c r="G55" s="81" t="str">
        <f>VLOOKUP($B55,Данные!$A$1:$U$1009,8,FALSE)</f>
        <v>Samsung LH351</v>
      </c>
      <c r="H55" s="81" t="str">
        <f>VLOOKUP($B55,Данные!$A$1:$U$1009,12,FALSE)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5" s="81" t="str">
        <f>VLOOKUP($B55,Данные!$A$1:$U$1009,4,FALSE)</f>
        <v>176-264В AС</v>
      </c>
      <c r="J55" s="81">
        <f>VLOOKUP($B55,Данные!$A$1:$U$1009,5,FALSE)</f>
        <v>0.95</v>
      </c>
      <c r="K55" s="81" t="str">
        <f>VLOOKUP($B55,Данные!$A$1:$U$1009,13,FALSE)</f>
        <v xml:space="preserve"> -60°...+50° С</v>
      </c>
      <c r="L55" s="81" t="str">
        <f>VLOOKUP($B55,Данные!$A$1:$U$1009,14,FALSE)</f>
        <v>100 000 ч</v>
      </c>
      <c r="M55" s="81" t="str">
        <f>VLOOKUP($B55,Данные!$A$1:$U$1009,10,FALSE)</f>
        <v>374х262х87</v>
      </c>
      <c r="N55" s="81">
        <f>VLOOKUP($B55,Данные!$A$1:$U$1009,11,FALSE)</f>
        <v>0</v>
      </c>
      <c r="O55" s="32" t="str">
        <f>VLOOKUP($B55,Данные!$A$1:$U$1009,9,FALSE)</f>
        <v>-</v>
      </c>
      <c r="P55" s="29">
        <f>VLOOKUP($B55,Данные!$A$1:$U$1009,2,FALSE)</f>
        <v>106</v>
      </c>
      <c r="Q55" s="30">
        <f>VLOOKUP($B55,Данные!$A$1:$U$1009,3,FALSE)</f>
        <v>15370</v>
      </c>
      <c r="R55" s="269">
        <f t="shared" si="0"/>
        <v>145</v>
      </c>
      <c r="S55" s="36" t="str">
        <f>VLOOKUP($B55,Данные!$A$1:$U$1009,15,FALSE)</f>
        <v>5000К 4000К* 3000К*</v>
      </c>
      <c r="T55" s="36">
        <f>VLOOKUP($B55,Данные!$A$1:$U$1009,7,FALSE)</f>
        <v>67</v>
      </c>
      <c r="U55" s="109" t="str">
        <f>VLOOKUP($B55,Данные!$A$1:$U$1009,16,FALSE)</f>
        <v>5 лет</v>
      </c>
      <c r="V55" s="407">
        <v>9170</v>
      </c>
    </row>
    <row r="56" spans="1:22" ht="90" customHeight="1" thickBot="1">
      <c r="A56" s="356"/>
      <c r="B56" s="15" t="s">
        <v>196</v>
      </c>
      <c r="C56" s="187">
        <f>VLOOKUP(B56,Данные!A39:Z396,26,FALSE)</f>
        <v>2051</v>
      </c>
      <c r="D56" s="343"/>
      <c r="E56" s="345"/>
      <c r="F56" s="79" t="str">
        <f>VLOOKUP($B56,Данные!$A$1:$U$1009,6,FALSE)</f>
        <v>К (концентрированная), 12 гр</v>
      </c>
      <c r="G56" s="79" t="str">
        <f>VLOOKUP($B56,Данные!$A$1:$U$1009,8,FALSE)</f>
        <v>Samsung LH351</v>
      </c>
      <c r="H56" s="79" t="str">
        <f>VLOOKUP($B56,Данные!$A$1:$U$1009,12,FALSE)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6" s="79" t="str">
        <f>VLOOKUP($B56,Данные!$A$1:$U$1009,4,FALSE)</f>
        <v>176-264В AС</v>
      </c>
      <c r="J56" s="79">
        <f>VLOOKUP($B56,Данные!$A$1:$U$1009,5,FALSE)</f>
        <v>0.95</v>
      </c>
      <c r="K56" s="79" t="str">
        <f>VLOOKUP($B56,Данные!$A$1:$U$1009,13,FALSE)</f>
        <v xml:space="preserve"> -60°...+50° С</v>
      </c>
      <c r="L56" s="79" t="str">
        <f>VLOOKUP($B56,Данные!$A$1:$U$1009,14,FALSE)</f>
        <v>100 000 ч</v>
      </c>
      <c r="M56" s="79" t="str">
        <f>VLOOKUP($B56,Данные!$A$1:$U$1009,10,FALSE)</f>
        <v>548х262х87</v>
      </c>
      <c r="N56" s="79">
        <f>VLOOKUP($B56,Данные!$A$1:$U$1009,11,FALSE)</f>
        <v>0</v>
      </c>
      <c r="O56" s="28" t="str">
        <f>VLOOKUP($B56,Данные!$A$1:$U$1009,9,FALSE)</f>
        <v>-</v>
      </c>
      <c r="P56" s="25">
        <f>VLOOKUP($B56,Данные!$A$1:$U$1009,2,FALSE)</f>
        <v>158</v>
      </c>
      <c r="Q56" s="26">
        <f>VLOOKUP($B56,Данные!$A$1:$U$1009,3,FALSE)</f>
        <v>22910</v>
      </c>
      <c r="R56" s="114">
        <f t="shared" si="0"/>
        <v>145</v>
      </c>
      <c r="S56" s="38" t="str">
        <f>VLOOKUP($B56,Данные!$A$1:$U$1009,15,FALSE)</f>
        <v>5000К 4000К* 3000К*</v>
      </c>
      <c r="T56" s="38">
        <f>VLOOKUP($B56,Данные!$A$1:$U$1009,7,FALSE)</f>
        <v>67</v>
      </c>
      <c r="U56" s="110" t="str">
        <f>VLOOKUP($B56,Данные!$A$1:$U$1009,16,FALSE)</f>
        <v>5 лет</v>
      </c>
      <c r="V56" s="408">
        <v>13505</v>
      </c>
    </row>
    <row r="57" spans="1:22" ht="90" customHeight="1">
      <c r="A57" s="354"/>
      <c r="B57" s="11" t="s">
        <v>197</v>
      </c>
      <c r="C57" s="190">
        <f>VLOOKUP(B57,Данные!A40:Z397,26,FALSE)</f>
        <v>2052</v>
      </c>
      <c r="D57" s="342" t="s">
        <v>33</v>
      </c>
      <c r="E57" s="344" t="str">
        <f>CONCATENATE(CONCATENATE("КСС: К / Г / Д / Л / Ш / М, боковая, осевая (в зав. от модели) ",$G$3,": ",$G57,CHAR(10),$H$3,": ",$H57,CHAR(10),$I$3,": ",$I57,CHAR(10),$J$3,": ",$J57,CHAR(10),$K$3,": ",$K57,CHAR(10),$L$3,": ",$L57,CHAR(10)),"*Цветовая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57" s="78" t="str">
        <f>VLOOKUP($B57,Данные!$A$1:$U$1009,6,FALSE)</f>
        <v>К (концентрированная), 27 гр</v>
      </c>
      <c r="G57" s="78" t="str">
        <f>VLOOKUP($B57,Данные!$A$1:$U$1009,8,FALSE)</f>
        <v>Samsung LH351</v>
      </c>
      <c r="H57" s="78" t="str">
        <f>VLOOKUP($B57,Данные!$A$1:$U$1009,12,FALSE)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7" s="78" t="str">
        <f>VLOOKUP($B57,Данные!$A$1:$U$1009,4,FALSE)</f>
        <v>176-264В AС</v>
      </c>
      <c r="J57" s="78">
        <f>VLOOKUP($B57,Данные!$A$1:$U$1009,5,FALSE)</f>
        <v>0.95</v>
      </c>
      <c r="K57" s="78" t="str">
        <f>VLOOKUP($B57,Данные!$A$1:$U$1009,13,FALSE)</f>
        <v xml:space="preserve"> -60°...+50° С</v>
      </c>
      <c r="L57" s="78" t="str">
        <f>VLOOKUP($B57,Данные!$A$1:$U$1009,14,FALSE)</f>
        <v>100 000 ч</v>
      </c>
      <c r="M57" s="78" t="str">
        <f>VLOOKUP($B57,Данные!$A$1:$U$1009,10,FALSE)</f>
        <v>224х262х87</v>
      </c>
      <c r="N57" s="78">
        <f>VLOOKUP($B57,Данные!$A$1:$U$1009,11,FALSE)</f>
        <v>0</v>
      </c>
      <c r="O57" s="24" t="str">
        <f>VLOOKUP($B57,Данные!$A$1:$U$1009,9,FALSE)</f>
        <v>-</v>
      </c>
      <c r="P57" s="21">
        <f>VLOOKUP($B57,Данные!$A$1:$U$1009,2,FALSE)</f>
        <v>54</v>
      </c>
      <c r="Q57" s="22">
        <f>VLOOKUP($B57,Данные!$A$1:$U$1009,3,FALSE)</f>
        <v>7830</v>
      </c>
      <c r="R57" s="113">
        <f t="shared" si="0"/>
        <v>145</v>
      </c>
      <c r="S57" s="37" t="str">
        <f>VLOOKUP($B57,Данные!$A$1:$U$1009,15,FALSE)</f>
        <v>5000К 4000К* 3000К*</v>
      </c>
      <c r="T57" s="37">
        <f>VLOOKUP($B57,Данные!$A$1:$U$1009,7,FALSE)</f>
        <v>67</v>
      </c>
      <c r="U57" s="108" t="str">
        <f>VLOOKUP($B57,Данные!$A$1:$U$1009,16,FALSE)</f>
        <v>5 лет</v>
      </c>
      <c r="V57" s="406">
        <v>5835</v>
      </c>
    </row>
    <row r="58" spans="1:22" ht="90" customHeight="1">
      <c r="A58" s="355"/>
      <c r="B58" s="14" t="s">
        <v>198</v>
      </c>
      <c r="C58" s="188">
        <f>VLOOKUP(B58,Данные!A41:Z398,26,FALSE)</f>
        <v>2053</v>
      </c>
      <c r="D58" s="337"/>
      <c r="E58" s="338"/>
      <c r="F58" s="81" t="str">
        <f>VLOOKUP($B58,Данные!$A$1:$U$1009,6,FALSE)</f>
        <v>К (концентрированная), 27 гр</v>
      </c>
      <c r="G58" s="81" t="str">
        <f>VLOOKUP($B58,Данные!$A$1:$U$1009,8,FALSE)</f>
        <v>Samsung LH351</v>
      </c>
      <c r="H58" s="81" t="str">
        <f>VLOOKUP($B58,Данные!$A$1:$U$1009,12,FALSE)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8" s="81" t="str">
        <f>VLOOKUP($B58,Данные!$A$1:$U$1009,4,FALSE)</f>
        <v>176-264В AС</v>
      </c>
      <c r="J58" s="81">
        <f>VLOOKUP($B58,Данные!$A$1:$U$1009,5,FALSE)</f>
        <v>0.95</v>
      </c>
      <c r="K58" s="81" t="str">
        <f>VLOOKUP($B58,Данные!$A$1:$U$1009,13,FALSE)</f>
        <v xml:space="preserve"> -60°...+50° С</v>
      </c>
      <c r="L58" s="81" t="str">
        <f>VLOOKUP($B58,Данные!$A$1:$U$1009,14,FALSE)</f>
        <v>100 000 ч</v>
      </c>
      <c r="M58" s="81" t="str">
        <f>VLOOKUP($B58,Данные!$A$1:$U$1009,10,FALSE)</f>
        <v>374х262х87</v>
      </c>
      <c r="N58" s="81">
        <f>VLOOKUP($B58,Данные!$A$1:$U$1009,11,FALSE)</f>
        <v>0</v>
      </c>
      <c r="O58" s="32" t="str">
        <f>VLOOKUP($B58,Данные!$A$1:$U$1009,9,FALSE)</f>
        <v>-</v>
      </c>
      <c r="P58" s="29">
        <f>VLOOKUP($B58,Данные!$A$1:$U$1009,2,FALSE)</f>
        <v>106</v>
      </c>
      <c r="Q58" s="30">
        <f>VLOOKUP($B58,Данные!$A$1:$U$1009,3,FALSE)</f>
        <v>15370</v>
      </c>
      <c r="R58" s="269">
        <f t="shared" si="0"/>
        <v>145</v>
      </c>
      <c r="S58" s="36" t="str">
        <f>VLOOKUP($B58,Данные!$A$1:$U$1009,15,FALSE)</f>
        <v>5000К 4000К* 3000К*</v>
      </c>
      <c r="T58" s="36">
        <f>VLOOKUP($B58,Данные!$A$1:$U$1009,7,FALSE)</f>
        <v>67</v>
      </c>
      <c r="U58" s="109" t="str">
        <f>VLOOKUP($B58,Данные!$A$1:$U$1009,16,FALSE)</f>
        <v>5 лет</v>
      </c>
      <c r="V58" s="407">
        <v>9170</v>
      </c>
    </row>
    <row r="59" spans="1:22" ht="90" customHeight="1" thickBot="1">
      <c r="A59" s="356"/>
      <c r="B59" s="15" t="s">
        <v>199</v>
      </c>
      <c r="C59" s="187">
        <f>VLOOKUP(B59,Данные!A42:Z399,26,FALSE)</f>
        <v>2054</v>
      </c>
      <c r="D59" s="343"/>
      <c r="E59" s="345"/>
      <c r="F59" s="79" t="str">
        <f>VLOOKUP($B59,Данные!$A$1:$U$1009,6,FALSE)</f>
        <v>К (концентрированная), 27 гр</v>
      </c>
      <c r="G59" s="79" t="str">
        <f>VLOOKUP($B59,Данные!$A$1:$U$1009,8,FALSE)</f>
        <v>Samsung LH351</v>
      </c>
      <c r="H59" s="79" t="str">
        <f>VLOOKUP($B59,Данные!$A$1:$U$1009,12,FALSE)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9" s="79" t="str">
        <f>VLOOKUP($B59,Данные!$A$1:$U$1009,4,FALSE)</f>
        <v>176-264В AС</v>
      </c>
      <c r="J59" s="79">
        <f>VLOOKUP($B59,Данные!$A$1:$U$1009,5,FALSE)</f>
        <v>0.95</v>
      </c>
      <c r="K59" s="79" t="str">
        <f>VLOOKUP($B59,Данные!$A$1:$U$1009,13,FALSE)</f>
        <v xml:space="preserve"> -60°...+50° С</v>
      </c>
      <c r="L59" s="79" t="str">
        <f>VLOOKUP($B59,Данные!$A$1:$U$1009,14,FALSE)</f>
        <v>100 000 ч</v>
      </c>
      <c r="M59" s="79" t="str">
        <f>VLOOKUP($B59,Данные!$A$1:$U$1009,10,FALSE)</f>
        <v>548х262х87</v>
      </c>
      <c r="N59" s="79">
        <f>VLOOKUP($B59,Данные!$A$1:$U$1009,11,FALSE)</f>
        <v>0</v>
      </c>
      <c r="O59" s="28" t="str">
        <f>VLOOKUP($B59,Данные!$A$1:$U$1009,9,FALSE)</f>
        <v>-</v>
      </c>
      <c r="P59" s="25">
        <f>VLOOKUP($B59,Данные!$A$1:$U$1009,2,FALSE)</f>
        <v>158</v>
      </c>
      <c r="Q59" s="26">
        <f>VLOOKUP($B59,Данные!$A$1:$U$1009,3,FALSE)</f>
        <v>22910</v>
      </c>
      <c r="R59" s="114">
        <f t="shared" si="0"/>
        <v>145</v>
      </c>
      <c r="S59" s="38" t="str">
        <f>VLOOKUP($B59,Данные!$A$1:$U$1009,15,FALSE)</f>
        <v>5000К 4000К* 3000К*</v>
      </c>
      <c r="T59" s="38">
        <f>VLOOKUP($B59,Данные!$A$1:$U$1009,7,FALSE)</f>
        <v>67</v>
      </c>
      <c r="U59" s="110" t="str">
        <f>VLOOKUP($B59,Данные!$A$1:$U$1009,16,FALSE)</f>
        <v>5 лет</v>
      </c>
      <c r="V59" s="408">
        <v>13505</v>
      </c>
    </row>
    <row r="60" spans="1:22" ht="90" customHeight="1">
      <c r="A60" s="354"/>
      <c r="B60" s="11" t="s">
        <v>200</v>
      </c>
      <c r="C60" s="190">
        <f>VLOOKUP(B60,Данные!A43:Z400,26,FALSE)</f>
        <v>2055</v>
      </c>
      <c r="D60" s="342" t="s">
        <v>33</v>
      </c>
      <c r="E60" s="344" t="str">
        <f>CONCATENATE(CONCATENATE("КСС: К / Г / Д / Л / Ш / М, боковая, осевая (в зав. от модели) ",$G$3,": ",$G60,CHAR(10),$H$3,": ",$H60,CHAR(10),$I$3,": ",$I60,CHAR(10),$J$3,": ",$J60,CHAR(10),$K$3,": ",$K60,CHAR(10),$L$3,": ",$L60,CHAR(10)),"*Цветовая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60" s="78" t="str">
        <f>VLOOKUP($B60,Данные!$A$1:$U$1009,6,FALSE)</f>
        <v>Г (глубокая), 58 гр</v>
      </c>
      <c r="G60" s="78" t="str">
        <f>VLOOKUP($B60,Данные!$A$1:$U$1009,8,FALSE)</f>
        <v>Samsung LH351</v>
      </c>
      <c r="H60" s="78" t="str">
        <f>VLOOKUP($B60,Данные!$A$1:$U$1009,12,FALSE)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0" s="78" t="str">
        <f>VLOOKUP($B60,Данные!$A$1:$U$1009,4,FALSE)</f>
        <v>176-264В AС</v>
      </c>
      <c r="J60" s="78">
        <f>VLOOKUP($B60,Данные!$A$1:$U$1009,5,FALSE)</f>
        <v>0.95</v>
      </c>
      <c r="K60" s="78" t="str">
        <f>VLOOKUP($B60,Данные!$A$1:$U$1009,13,FALSE)</f>
        <v xml:space="preserve"> -60°...+50° С</v>
      </c>
      <c r="L60" s="78" t="str">
        <f>VLOOKUP($B60,Данные!$A$1:$U$1009,14,FALSE)</f>
        <v>100 000 ч</v>
      </c>
      <c r="M60" s="78" t="str">
        <f>VLOOKUP($B60,Данные!$A$1:$U$1009,10,FALSE)</f>
        <v>224х262х87</v>
      </c>
      <c r="N60" s="78">
        <f>VLOOKUP($B60,Данные!$A$1:$U$1009,11,FALSE)</f>
        <v>0</v>
      </c>
      <c r="O60" s="24" t="str">
        <f>VLOOKUP($B60,Данные!$A$1:$U$1009,9,FALSE)</f>
        <v>-</v>
      </c>
      <c r="P60" s="21">
        <f>VLOOKUP($B60,Данные!$A$1:$U$1009,2,FALSE)</f>
        <v>54</v>
      </c>
      <c r="Q60" s="22">
        <f>VLOOKUP($B60,Данные!$A$1:$U$1009,3,FALSE)</f>
        <v>7830</v>
      </c>
      <c r="R60" s="113">
        <f t="shared" si="0"/>
        <v>145</v>
      </c>
      <c r="S60" s="37" t="str">
        <f>VLOOKUP($B60,Данные!$A$1:$U$1009,15,FALSE)</f>
        <v>5000К 4000К* 3000К*</v>
      </c>
      <c r="T60" s="37">
        <f>VLOOKUP($B60,Данные!$A$1:$U$1009,7,FALSE)</f>
        <v>67</v>
      </c>
      <c r="U60" s="108" t="str">
        <f>VLOOKUP($B60,Данные!$A$1:$U$1009,16,FALSE)</f>
        <v>5 лет</v>
      </c>
      <c r="V60" s="406">
        <v>5835</v>
      </c>
    </row>
    <row r="61" spans="1:22" ht="90" customHeight="1">
      <c r="A61" s="355"/>
      <c r="B61" s="14" t="s">
        <v>201</v>
      </c>
      <c r="C61" s="188">
        <f>VLOOKUP(B61,Данные!A44:Z401,26,FALSE)</f>
        <v>2056</v>
      </c>
      <c r="D61" s="337"/>
      <c r="E61" s="338"/>
      <c r="F61" s="81" t="str">
        <f>VLOOKUP($B61,Данные!$A$1:$U$1009,6,FALSE)</f>
        <v>Г (глубокая), 58 гр</v>
      </c>
      <c r="G61" s="81" t="str">
        <f>VLOOKUP($B61,Данные!$A$1:$U$1009,8,FALSE)</f>
        <v>Samsung LH351</v>
      </c>
      <c r="H61" s="81" t="str">
        <f>VLOOKUP($B61,Данные!$A$1:$U$1009,12,FALSE)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1" s="81" t="str">
        <f>VLOOKUP($B61,Данные!$A$1:$U$1009,4,FALSE)</f>
        <v>176-264В AС</v>
      </c>
      <c r="J61" s="81">
        <f>VLOOKUP($B61,Данные!$A$1:$U$1009,5,FALSE)</f>
        <v>0.95</v>
      </c>
      <c r="K61" s="81" t="str">
        <f>VLOOKUP($B61,Данные!$A$1:$U$1009,13,FALSE)</f>
        <v xml:space="preserve"> -60°...+50° С</v>
      </c>
      <c r="L61" s="81" t="str">
        <f>VLOOKUP($B61,Данные!$A$1:$U$1009,14,FALSE)</f>
        <v>100 000 ч</v>
      </c>
      <c r="M61" s="81" t="str">
        <f>VLOOKUP($B61,Данные!$A$1:$U$1009,10,FALSE)</f>
        <v>374х262х87</v>
      </c>
      <c r="N61" s="81">
        <f>VLOOKUP($B61,Данные!$A$1:$U$1009,11,FALSE)</f>
        <v>0</v>
      </c>
      <c r="O61" s="32" t="str">
        <f>VLOOKUP($B61,Данные!$A$1:$U$1009,9,FALSE)</f>
        <v>-</v>
      </c>
      <c r="P61" s="29">
        <f>VLOOKUP($B61,Данные!$A$1:$U$1009,2,FALSE)</f>
        <v>106</v>
      </c>
      <c r="Q61" s="30">
        <f>VLOOKUP($B61,Данные!$A$1:$U$1009,3,FALSE)</f>
        <v>15370</v>
      </c>
      <c r="R61" s="269">
        <f t="shared" si="0"/>
        <v>145</v>
      </c>
      <c r="S61" s="36" t="str">
        <f>VLOOKUP($B61,Данные!$A$1:$U$1009,15,FALSE)</f>
        <v>5000К 4000К* 3000К*</v>
      </c>
      <c r="T61" s="36">
        <f>VLOOKUP($B61,Данные!$A$1:$U$1009,7,FALSE)</f>
        <v>67</v>
      </c>
      <c r="U61" s="109" t="str">
        <f>VLOOKUP($B61,Данные!$A$1:$U$1009,16,FALSE)</f>
        <v>5 лет</v>
      </c>
      <c r="V61" s="407">
        <v>9170</v>
      </c>
    </row>
    <row r="62" spans="1:22" ht="90" customHeight="1" thickBot="1">
      <c r="A62" s="356"/>
      <c r="B62" s="15" t="s">
        <v>202</v>
      </c>
      <c r="C62" s="187">
        <f>VLOOKUP(B62,Данные!A45:Z402,26,FALSE)</f>
        <v>2057</v>
      </c>
      <c r="D62" s="343"/>
      <c r="E62" s="345"/>
      <c r="F62" s="79" t="str">
        <f>VLOOKUP($B62,Данные!$A$1:$U$1009,6,FALSE)</f>
        <v>Г (глубокая), 58 гр</v>
      </c>
      <c r="G62" s="79" t="str">
        <f>VLOOKUP($B62,Данные!$A$1:$U$1009,8,FALSE)</f>
        <v>Samsung LH351</v>
      </c>
      <c r="H62" s="79" t="str">
        <f>VLOOKUP($B62,Данные!$A$1:$U$1009,12,FALSE)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2" s="79" t="str">
        <f>VLOOKUP($B62,Данные!$A$1:$U$1009,4,FALSE)</f>
        <v>176-264В AС</v>
      </c>
      <c r="J62" s="79">
        <f>VLOOKUP($B62,Данные!$A$1:$U$1009,5,FALSE)</f>
        <v>0.95</v>
      </c>
      <c r="K62" s="79" t="str">
        <f>VLOOKUP($B62,Данные!$A$1:$U$1009,13,FALSE)</f>
        <v xml:space="preserve"> -60°...+50° С</v>
      </c>
      <c r="L62" s="79" t="str">
        <f>VLOOKUP($B62,Данные!$A$1:$U$1009,14,FALSE)</f>
        <v>100 000 ч</v>
      </c>
      <c r="M62" s="79" t="str">
        <f>VLOOKUP($B62,Данные!$A$1:$U$1009,10,FALSE)</f>
        <v>548х262х87</v>
      </c>
      <c r="N62" s="79">
        <f>VLOOKUP($B62,Данные!$A$1:$U$1009,11,FALSE)</f>
        <v>0</v>
      </c>
      <c r="O62" s="28" t="str">
        <f>VLOOKUP($B62,Данные!$A$1:$U$1009,9,FALSE)</f>
        <v>-</v>
      </c>
      <c r="P62" s="25">
        <f>VLOOKUP($B62,Данные!$A$1:$U$1009,2,FALSE)</f>
        <v>158</v>
      </c>
      <c r="Q62" s="26">
        <f>VLOOKUP($B62,Данные!$A$1:$U$1009,3,FALSE)</f>
        <v>22910</v>
      </c>
      <c r="R62" s="114">
        <f t="shared" si="0"/>
        <v>145</v>
      </c>
      <c r="S62" s="38" t="str">
        <f>VLOOKUP($B62,Данные!$A$1:$U$1009,15,FALSE)</f>
        <v>5000К 4000К* 3000К*</v>
      </c>
      <c r="T62" s="38">
        <f>VLOOKUP($B62,Данные!$A$1:$U$1009,7,FALSE)</f>
        <v>67</v>
      </c>
      <c r="U62" s="110" t="str">
        <f>VLOOKUP($B62,Данные!$A$1:$U$1009,16,FALSE)</f>
        <v>5 лет</v>
      </c>
      <c r="V62" s="408">
        <v>13505</v>
      </c>
    </row>
    <row r="63" spans="1:22" ht="90" customHeight="1">
      <c r="A63" s="354"/>
      <c r="B63" s="11" t="s">
        <v>203</v>
      </c>
      <c r="C63" s="190">
        <f>VLOOKUP(B63,Данные!A46:Z403,26,FALSE)</f>
        <v>2058</v>
      </c>
      <c r="D63" s="342" t="s">
        <v>33</v>
      </c>
      <c r="E63" s="344" t="str">
        <f>CONCATENATE(CONCATENATE("КСС: К / Г / Д / Л / Ш / М, боковая, осевая (в зав. от модели) ",$G$3,": ",$G63,CHAR(10),$H$3,": ",$H63,CHAR(10),$I$3,": ",$I63,CHAR(10),$J$3,": ",$J63,CHAR(10),$K$3,": ",$K63,CHAR(10),$L$3,": ",$L63,CHAR(10)),"*Цветовая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63" s="78" t="str">
        <f>VLOOKUP($B63,Данные!$A$1:$U$1009,6,FALSE)</f>
        <v>Л (полуширокая), 100 гр</v>
      </c>
      <c r="G63" s="78" t="str">
        <f>VLOOKUP($B63,Данные!$A$1:$U$1009,8,FALSE)</f>
        <v>Samsung LH351</v>
      </c>
      <c r="H63" s="78" t="str">
        <f>VLOOKUP($B63,Данные!$A$1:$U$1009,12,FALSE)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3" s="78" t="str">
        <f>VLOOKUP($B63,Данные!$A$1:$U$1009,4,FALSE)</f>
        <v>176-264В AС</v>
      </c>
      <c r="J63" s="78">
        <f>VLOOKUP($B63,Данные!$A$1:$U$1009,5,FALSE)</f>
        <v>0.95</v>
      </c>
      <c r="K63" s="78" t="str">
        <f>VLOOKUP($B63,Данные!$A$1:$U$1009,13,FALSE)</f>
        <v xml:space="preserve"> -60°...+50° С</v>
      </c>
      <c r="L63" s="78" t="str">
        <f>VLOOKUP($B63,Данные!$A$1:$U$1009,14,FALSE)</f>
        <v>100 000 ч</v>
      </c>
      <c r="M63" s="78" t="str">
        <f>VLOOKUP($B63,Данные!$A$1:$U$1009,10,FALSE)</f>
        <v>224х262х87</v>
      </c>
      <c r="N63" s="78">
        <f>VLOOKUP($B63,Данные!$A$1:$U$1009,11,FALSE)</f>
        <v>0</v>
      </c>
      <c r="O63" s="24" t="str">
        <f>VLOOKUP($B63,Данные!$A$1:$U$1009,9,FALSE)</f>
        <v>-</v>
      </c>
      <c r="P63" s="21">
        <f>VLOOKUP($B63,Данные!$A$1:$U$1009,2,FALSE)</f>
        <v>54</v>
      </c>
      <c r="Q63" s="22">
        <f>VLOOKUP($B63,Данные!$A$1:$U$1009,3,FALSE)</f>
        <v>7830</v>
      </c>
      <c r="R63" s="113">
        <f t="shared" si="0"/>
        <v>145</v>
      </c>
      <c r="S63" s="37" t="str">
        <f>VLOOKUP($B63,Данные!$A$1:$U$1009,15,FALSE)</f>
        <v>5000К 4000К* 3000К*</v>
      </c>
      <c r="T63" s="37">
        <f>VLOOKUP($B63,Данные!$A$1:$U$1009,7,FALSE)</f>
        <v>67</v>
      </c>
      <c r="U63" s="108" t="str">
        <f>VLOOKUP($B63,Данные!$A$1:$U$1009,16,FALSE)</f>
        <v>5 лет</v>
      </c>
      <c r="V63" s="406">
        <v>5835</v>
      </c>
    </row>
    <row r="64" spans="1:22" ht="90" customHeight="1">
      <c r="A64" s="355"/>
      <c r="B64" s="14" t="s">
        <v>204</v>
      </c>
      <c r="C64" s="188">
        <f>VLOOKUP(B64,Данные!A47:Z404,26,FALSE)</f>
        <v>2059</v>
      </c>
      <c r="D64" s="337"/>
      <c r="E64" s="338"/>
      <c r="F64" s="81" t="str">
        <f>VLOOKUP($B64,Данные!$A$1:$U$1009,6,FALSE)</f>
        <v>Л (полуширокая), 100 гр</v>
      </c>
      <c r="G64" s="81" t="str">
        <f>VLOOKUP($B64,Данные!$A$1:$U$1009,8,FALSE)</f>
        <v>Samsung LH351</v>
      </c>
      <c r="H64" s="81" t="str">
        <f>VLOOKUP($B64,Данные!$A$1:$U$1009,12,FALSE)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4" s="81" t="str">
        <f>VLOOKUP($B64,Данные!$A$1:$U$1009,4,FALSE)</f>
        <v>176-264В AС</v>
      </c>
      <c r="J64" s="81">
        <f>VLOOKUP($B64,Данные!$A$1:$U$1009,5,FALSE)</f>
        <v>0.95</v>
      </c>
      <c r="K64" s="81" t="str">
        <f>VLOOKUP($B64,Данные!$A$1:$U$1009,13,FALSE)</f>
        <v xml:space="preserve"> -60°...+50° С</v>
      </c>
      <c r="L64" s="81" t="str">
        <f>VLOOKUP($B64,Данные!$A$1:$U$1009,14,FALSE)</f>
        <v>100 000 ч</v>
      </c>
      <c r="M64" s="81" t="str">
        <f>VLOOKUP($B64,Данные!$A$1:$U$1009,10,FALSE)</f>
        <v>374х262х87</v>
      </c>
      <c r="N64" s="81">
        <f>VLOOKUP($B64,Данные!$A$1:$U$1009,11,FALSE)</f>
        <v>0</v>
      </c>
      <c r="O64" s="32" t="str">
        <f>VLOOKUP($B64,Данные!$A$1:$U$1009,9,FALSE)</f>
        <v>-</v>
      </c>
      <c r="P64" s="29">
        <f>VLOOKUP($B64,Данные!$A$1:$U$1009,2,FALSE)</f>
        <v>106</v>
      </c>
      <c r="Q64" s="30">
        <f>VLOOKUP($B64,Данные!$A$1:$U$1009,3,FALSE)</f>
        <v>15370</v>
      </c>
      <c r="R64" s="269">
        <f t="shared" si="0"/>
        <v>145</v>
      </c>
      <c r="S64" s="36" t="str">
        <f>VLOOKUP($B64,Данные!$A$1:$U$1009,15,FALSE)</f>
        <v>5000К 4000К* 3000К*</v>
      </c>
      <c r="T64" s="36">
        <f>VLOOKUP($B64,Данные!$A$1:$U$1009,7,FALSE)</f>
        <v>67</v>
      </c>
      <c r="U64" s="109" t="str">
        <f>VLOOKUP($B64,Данные!$A$1:$U$1009,16,FALSE)</f>
        <v>5 лет</v>
      </c>
      <c r="V64" s="407">
        <v>9170</v>
      </c>
    </row>
    <row r="65" spans="1:22" ht="90" customHeight="1" thickBot="1">
      <c r="A65" s="356"/>
      <c r="B65" s="15" t="s">
        <v>205</v>
      </c>
      <c r="C65" s="187">
        <f>VLOOKUP(B65,Данные!A48:Z405,26,FALSE)</f>
        <v>2060</v>
      </c>
      <c r="D65" s="343"/>
      <c r="E65" s="345"/>
      <c r="F65" s="79" t="str">
        <f>VLOOKUP($B65,Данные!$A$1:$U$1009,6,FALSE)</f>
        <v>Л (полуширокая), 100 гр</v>
      </c>
      <c r="G65" s="79" t="str">
        <f>VLOOKUP($B65,Данные!$A$1:$U$1009,8,FALSE)</f>
        <v>Samsung LH351</v>
      </c>
      <c r="H65" s="79" t="str">
        <f>VLOOKUP($B65,Данные!$A$1:$U$1009,12,FALSE)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5" s="79" t="str">
        <f>VLOOKUP($B65,Данные!$A$1:$U$1009,4,FALSE)</f>
        <v>176-264В AС</v>
      </c>
      <c r="J65" s="79">
        <f>VLOOKUP($B65,Данные!$A$1:$U$1009,5,FALSE)</f>
        <v>0.95</v>
      </c>
      <c r="K65" s="79" t="str">
        <f>VLOOKUP($B65,Данные!$A$1:$U$1009,13,FALSE)</f>
        <v xml:space="preserve"> -60°...+50° С</v>
      </c>
      <c r="L65" s="79" t="str">
        <f>VLOOKUP($B65,Данные!$A$1:$U$1009,14,FALSE)</f>
        <v>100 000 ч</v>
      </c>
      <c r="M65" s="79" t="str">
        <f>VLOOKUP($B65,Данные!$A$1:$U$1009,10,FALSE)</f>
        <v>548х262х87</v>
      </c>
      <c r="N65" s="79">
        <f>VLOOKUP($B65,Данные!$A$1:$U$1009,11,FALSE)</f>
        <v>0</v>
      </c>
      <c r="O65" s="28" t="str">
        <f>VLOOKUP($B65,Данные!$A$1:$U$1009,9,FALSE)</f>
        <v>-</v>
      </c>
      <c r="P65" s="25">
        <f>VLOOKUP($B65,Данные!$A$1:$U$1009,2,FALSE)</f>
        <v>158</v>
      </c>
      <c r="Q65" s="26">
        <f>VLOOKUP($B65,Данные!$A$1:$U$1009,3,FALSE)</f>
        <v>22910</v>
      </c>
      <c r="R65" s="114">
        <f t="shared" si="0"/>
        <v>145</v>
      </c>
      <c r="S65" s="38" t="str">
        <f>VLOOKUP($B65,Данные!$A$1:$U$1009,15,FALSE)</f>
        <v>5000К 4000К* 3000К*</v>
      </c>
      <c r="T65" s="38">
        <f>VLOOKUP($B65,Данные!$A$1:$U$1009,7,FALSE)</f>
        <v>67</v>
      </c>
      <c r="U65" s="110" t="str">
        <f>VLOOKUP($B65,Данные!$A$1:$U$1009,16,FALSE)</f>
        <v>5 лет</v>
      </c>
      <c r="V65" s="408">
        <v>13505</v>
      </c>
    </row>
    <row r="66" spans="1:22" ht="90" customHeight="1">
      <c r="A66" s="354"/>
      <c r="B66" s="11" t="s">
        <v>170</v>
      </c>
      <c r="C66" s="190">
        <f>VLOOKUP(B66,Данные!A49:Z406,26,FALSE)</f>
        <v>2025</v>
      </c>
      <c r="D66" s="342" t="s">
        <v>33</v>
      </c>
      <c r="E66" s="344" t="str">
        <f>CONCATENATE(CONCATENATE("КСС: К / Г / Д / Л / Ш / М, боковая, осевая (в зав. от модели) ",$G$3,": ",$G66,CHAR(10),$H$3,": ",$H66,CHAR(10),$I$3,": ",$I66,CHAR(10),$J$3,": ",$J66,CHAR(10),$K$3,": ",$K66,CHAR(10),$L$3,": ",$L66,CHAR(10)),"*Цветовая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66" s="78" t="str">
        <f>VLOOKUP($B66,Данные!$A$1:$U$1009,6,FALSE)</f>
        <v>К (концентрированная), 12 гр</v>
      </c>
      <c r="G66" s="78" t="str">
        <f>VLOOKUP($B66,Данные!$A$1:$U$1009,8,FALSE)</f>
        <v>Samsung LH351</v>
      </c>
      <c r="H66" s="78" t="str">
        <f>VLOOKUP($B66,Данные!$A$1:$U$1009,12,FALSE)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6" s="78" t="str">
        <f>VLOOKUP($B66,Данные!$A$1:$U$1009,4,FALSE)</f>
        <v>176-264В AС</v>
      </c>
      <c r="J66" s="78">
        <f>VLOOKUP($B66,Данные!$A$1:$U$1009,5,FALSE)</f>
        <v>0.95</v>
      </c>
      <c r="K66" s="78" t="str">
        <f>VLOOKUP($B66,Данные!$A$1:$U$1009,13,FALSE)</f>
        <v xml:space="preserve"> -60°...+50° С</v>
      </c>
      <c r="L66" s="78" t="str">
        <f>VLOOKUP($B66,Данные!$A$1:$U$1009,14,FALSE)</f>
        <v>100 000 ч</v>
      </c>
      <c r="M66" s="78" t="str">
        <f>VLOOKUP($B66,Данные!$A$1:$U$1009,10,FALSE)</f>
        <v>224х320х154</v>
      </c>
      <c r="N66" s="78">
        <f>VLOOKUP($B66,Данные!$A$1:$U$1009,11,FALSE)</f>
        <v>0</v>
      </c>
      <c r="O66" s="24" t="str">
        <f>VLOOKUP($B66,Данные!$A$1:$U$1009,9,FALSE)</f>
        <v>-</v>
      </c>
      <c r="P66" s="21">
        <f>VLOOKUP($B66,Данные!$A$1:$U$1009,2,FALSE)</f>
        <v>81</v>
      </c>
      <c r="Q66" s="22">
        <f>VLOOKUP($B66,Данные!$A$1:$U$1009,3,FALSE)</f>
        <v>11745</v>
      </c>
      <c r="R66" s="113">
        <f t="shared" si="0"/>
        <v>145</v>
      </c>
      <c r="S66" s="37" t="str">
        <f>VLOOKUP($B66,Данные!$A$1:$U$1009,15,FALSE)</f>
        <v>5000К 4000К* 3000К*</v>
      </c>
      <c r="T66" s="37">
        <f>VLOOKUP($B66,Данные!$A$1:$U$1009,7,FALSE)</f>
        <v>67</v>
      </c>
      <c r="U66" s="108" t="str">
        <f>VLOOKUP($B66,Данные!$A$1:$U$1009,16,FALSE)</f>
        <v>5 лет</v>
      </c>
      <c r="V66" s="406">
        <v>8750</v>
      </c>
    </row>
    <row r="67" spans="1:22" ht="90" customHeight="1">
      <c r="A67" s="355"/>
      <c r="B67" s="12" t="s">
        <v>171</v>
      </c>
      <c r="C67" s="192">
        <f>VLOOKUP(B67,Данные!A50:Z407,26,FALSE)</f>
        <v>2026</v>
      </c>
      <c r="D67" s="337"/>
      <c r="E67" s="338"/>
      <c r="F67" s="81" t="str">
        <f>VLOOKUP($B67,Данные!$A$1:$U$1009,6,FALSE)</f>
        <v>К (концентрированная), 12 гр</v>
      </c>
      <c r="G67" s="81" t="str">
        <f>VLOOKUP($B67,Данные!$A$1:$U$1009,8,FALSE)</f>
        <v>Samsung LH351</v>
      </c>
      <c r="H67" s="81" t="str">
        <f>VLOOKUP($B67,Данные!$A$1:$U$1009,12,FALSE)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7" s="81" t="str">
        <f>VLOOKUP($B67,Данные!$A$1:$U$1009,4,FALSE)</f>
        <v>176-264В AС</v>
      </c>
      <c r="J67" s="81">
        <f>VLOOKUP($B67,Данные!$A$1:$U$1009,5,FALSE)</f>
        <v>0.95</v>
      </c>
      <c r="K67" s="81" t="str">
        <f>VLOOKUP($B67,Данные!$A$1:$U$1009,13,FALSE)</f>
        <v xml:space="preserve"> -60°...+50° С</v>
      </c>
      <c r="L67" s="81" t="str">
        <f>VLOOKUP($B67,Данные!$A$1:$U$1009,14,FALSE)</f>
        <v>100 000 ч</v>
      </c>
      <c r="M67" s="81" t="str">
        <f>VLOOKUP($B67,Данные!$A$1:$U$1009,10,FALSE)</f>
        <v>374х320х154</v>
      </c>
      <c r="N67" s="81">
        <f>VLOOKUP($B67,Данные!$A$1:$U$1009,11,FALSE)</f>
        <v>0</v>
      </c>
      <c r="O67" s="32" t="str">
        <f>VLOOKUP($B67,Данные!$A$1:$U$1009,9,FALSE)</f>
        <v>-</v>
      </c>
      <c r="P67" s="29">
        <f>VLOOKUP($B67,Данные!$A$1:$U$1009,2,FALSE)</f>
        <v>159</v>
      </c>
      <c r="Q67" s="30">
        <f>VLOOKUP($B67,Данные!$A$1:$U$1009,3,FALSE)</f>
        <v>23055</v>
      </c>
      <c r="R67" s="269">
        <f t="shared" si="0"/>
        <v>145</v>
      </c>
      <c r="S67" s="36" t="str">
        <f>VLOOKUP($B67,Данные!$A$1:$U$1009,15,FALSE)</f>
        <v>5000К 4000К* 3000К*</v>
      </c>
      <c r="T67" s="36">
        <f>VLOOKUP($B67,Данные!$A$1:$U$1009,7,FALSE)</f>
        <v>67</v>
      </c>
      <c r="U67" s="109" t="str">
        <f>VLOOKUP($B67,Данные!$A$1:$U$1009,16,FALSE)</f>
        <v>5 лет</v>
      </c>
      <c r="V67" s="407">
        <v>13755</v>
      </c>
    </row>
    <row r="68" spans="1:22" ht="90" customHeight="1" thickBot="1">
      <c r="A68" s="356"/>
      <c r="B68" s="13" t="s">
        <v>172</v>
      </c>
      <c r="C68" s="192">
        <f>VLOOKUP(B68,Данные!A51:Z408,26,FALSE)</f>
        <v>2027</v>
      </c>
      <c r="D68" s="337"/>
      <c r="E68" s="345"/>
      <c r="F68" s="79" t="str">
        <f>VLOOKUP($B68,Данные!$A$1:$U$1009,6,FALSE)</f>
        <v>К (концентрированная), 12 гр</v>
      </c>
      <c r="G68" s="79" t="str">
        <f>VLOOKUP($B68,Данные!$A$1:$U$1009,8,FALSE)</f>
        <v>Samsung LH351</v>
      </c>
      <c r="H68" s="79" t="str">
        <f>VLOOKUP($B68,Данные!$A$1:$U$1009,12,FALSE)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8" s="79" t="str">
        <f>VLOOKUP($B68,Данные!$A$1:$U$1009,4,FALSE)</f>
        <v>176-264В AС</v>
      </c>
      <c r="J68" s="79">
        <f>VLOOKUP($B68,Данные!$A$1:$U$1009,5,FALSE)</f>
        <v>0.95</v>
      </c>
      <c r="K68" s="79" t="str">
        <f>VLOOKUP($B68,Данные!$A$1:$U$1009,13,FALSE)</f>
        <v xml:space="preserve"> -60°...+50° С</v>
      </c>
      <c r="L68" s="79" t="str">
        <f>VLOOKUP($B68,Данные!$A$1:$U$1009,14,FALSE)</f>
        <v>100 000 ч</v>
      </c>
      <c r="M68" s="79" t="str">
        <f>VLOOKUP($B68,Данные!$A$1:$U$1009,10,FALSE)</f>
        <v>548х320х154</v>
      </c>
      <c r="N68" s="79">
        <f>VLOOKUP($B68,Данные!$A$1:$U$1009,11,FALSE)</f>
        <v>0</v>
      </c>
      <c r="O68" s="28" t="str">
        <f>VLOOKUP($B68,Данные!$A$1:$U$1009,9,FALSE)</f>
        <v>-</v>
      </c>
      <c r="P68" s="25">
        <f>VLOOKUP($B68,Данные!$A$1:$U$1009,2,FALSE)</f>
        <v>237</v>
      </c>
      <c r="Q68" s="26">
        <f>VLOOKUP($B68,Данные!$A$1:$U$1009,3,FALSE)</f>
        <v>34365</v>
      </c>
      <c r="R68" s="114">
        <f t="shared" si="0"/>
        <v>145</v>
      </c>
      <c r="S68" s="38" t="str">
        <f>VLOOKUP($B68,Данные!$A$1:$U$1009,15,FALSE)</f>
        <v>5000К 4000К* 3000К*</v>
      </c>
      <c r="T68" s="38">
        <f>VLOOKUP($B68,Данные!$A$1:$U$1009,7,FALSE)</f>
        <v>67</v>
      </c>
      <c r="U68" s="110" t="str">
        <f>VLOOKUP($B68,Данные!$A$1:$U$1009,16,FALSE)</f>
        <v>5 лет</v>
      </c>
      <c r="V68" s="408">
        <v>20255</v>
      </c>
    </row>
    <row r="69" spans="1:22" ht="90" customHeight="1">
      <c r="A69" s="354"/>
      <c r="B69" s="11" t="s">
        <v>173</v>
      </c>
      <c r="C69" s="190">
        <f>VLOOKUP(B69,Данные!A52:Z409,26,FALSE)</f>
        <v>2028</v>
      </c>
      <c r="D69" s="342" t="s">
        <v>33</v>
      </c>
      <c r="E69" s="344" t="str">
        <f>CONCATENATE(CONCATENATE("КСС: К / Г / Д / Л / Ш / М, боковая, осевая (в зав. от модели) ",$G$3,": ",$G69,CHAR(10),$H$3,": ",$H69,CHAR(10),$I$3,": ",$I69,CHAR(10),$J$3,": ",$J69,CHAR(10),$K$3,": ",$K69,CHAR(10),$L$3,": ",$L69,CHAR(10)),"*Цветовая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69" s="78" t="str">
        <f>VLOOKUP($B69,Данные!$A$1:$U$1009,6,FALSE)</f>
        <v>К (концентрированная), 27 гр</v>
      </c>
      <c r="G69" s="78" t="str">
        <f>VLOOKUP($B69,Данные!$A$1:$U$1009,8,FALSE)</f>
        <v>Samsung LH351</v>
      </c>
      <c r="H69" s="78" t="str">
        <f>VLOOKUP($B69,Данные!$A$1:$U$1009,12,FALSE)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9" s="78" t="str">
        <f>VLOOKUP($B69,Данные!$A$1:$U$1009,4,FALSE)</f>
        <v>176-264В AС</v>
      </c>
      <c r="J69" s="78">
        <f>VLOOKUP($B69,Данные!$A$1:$U$1009,5,FALSE)</f>
        <v>0.95</v>
      </c>
      <c r="K69" s="78" t="str">
        <f>VLOOKUP($B69,Данные!$A$1:$U$1009,13,FALSE)</f>
        <v xml:space="preserve"> -60°...+50° С</v>
      </c>
      <c r="L69" s="78" t="str">
        <f>VLOOKUP($B69,Данные!$A$1:$U$1009,14,FALSE)</f>
        <v>100 000 ч</v>
      </c>
      <c r="M69" s="78" t="str">
        <f>VLOOKUP($B69,Данные!$A$1:$U$1009,10,FALSE)</f>
        <v>224х320х154</v>
      </c>
      <c r="N69" s="78">
        <f>VLOOKUP($B69,Данные!$A$1:$U$1009,11,FALSE)</f>
        <v>0</v>
      </c>
      <c r="O69" s="24" t="str">
        <f>VLOOKUP($B69,Данные!$A$1:$U$1009,9,FALSE)</f>
        <v>-</v>
      </c>
      <c r="P69" s="21">
        <f>VLOOKUP($B69,Данные!$A$1:$U$1009,2,FALSE)</f>
        <v>81</v>
      </c>
      <c r="Q69" s="22">
        <f>VLOOKUP($B69,Данные!$A$1:$U$1009,3,FALSE)</f>
        <v>11745</v>
      </c>
      <c r="R69" s="113">
        <f t="shared" si="0"/>
        <v>145</v>
      </c>
      <c r="S69" s="37" t="str">
        <f>VLOOKUP($B69,Данные!$A$1:$U$1009,15,FALSE)</f>
        <v>5000К 4000К* 3000К*</v>
      </c>
      <c r="T69" s="37">
        <f>VLOOKUP($B69,Данные!$A$1:$U$1009,7,FALSE)</f>
        <v>67</v>
      </c>
      <c r="U69" s="108" t="str">
        <f>VLOOKUP($B69,Данные!$A$1:$U$1009,16,FALSE)</f>
        <v>5 лет</v>
      </c>
      <c r="V69" s="406">
        <v>8750</v>
      </c>
    </row>
    <row r="70" spans="1:22" ht="90" customHeight="1">
      <c r="A70" s="355"/>
      <c r="B70" s="12" t="s">
        <v>174</v>
      </c>
      <c r="C70" s="192">
        <f>VLOOKUP(B70,Данные!A53:Z410,26,FALSE)</f>
        <v>2029</v>
      </c>
      <c r="D70" s="337"/>
      <c r="E70" s="338"/>
      <c r="F70" s="81" t="str">
        <f>VLOOKUP($B70,Данные!$A$1:$U$1009,6,FALSE)</f>
        <v>К (концентрированная), 27 гр</v>
      </c>
      <c r="G70" s="81" t="str">
        <f>VLOOKUP($B70,Данные!$A$1:$U$1009,8,FALSE)</f>
        <v>Samsung LH351</v>
      </c>
      <c r="H70" s="81" t="str">
        <f>VLOOKUP($B70,Данные!$A$1:$U$1009,12,FALSE)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0" s="81" t="str">
        <f>VLOOKUP($B70,Данные!$A$1:$U$1009,4,FALSE)</f>
        <v>176-264В AС</v>
      </c>
      <c r="J70" s="81">
        <f>VLOOKUP($B70,Данные!$A$1:$U$1009,5,FALSE)</f>
        <v>0.95</v>
      </c>
      <c r="K70" s="81" t="str">
        <f>VLOOKUP($B70,Данные!$A$1:$U$1009,13,FALSE)</f>
        <v xml:space="preserve"> -60°...+50° С</v>
      </c>
      <c r="L70" s="81" t="str">
        <f>VLOOKUP($B70,Данные!$A$1:$U$1009,14,FALSE)</f>
        <v>100 000 ч</v>
      </c>
      <c r="M70" s="81" t="str">
        <f>VLOOKUP($B70,Данные!$A$1:$U$1009,10,FALSE)</f>
        <v>374х320х154</v>
      </c>
      <c r="N70" s="81">
        <f>VLOOKUP($B70,Данные!$A$1:$U$1009,11,FALSE)</f>
        <v>0</v>
      </c>
      <c r="O70" s="32" t="str">
        <f>VLOOKUP($B70,Данные!$A$1:$U$1009,9,FALSE)</f>
        <v>-</v>
      </c>
      <c r="P70" s="29">
        <f>VLOOKUP($B70,Данные!$A$1:$U$1009,2,FALSE)</f>
        <v>159</v>
      </c>
      <c r="Q70" s="30">
        <f>VLOOKUP($B70,Данные!$A$1:$U$1009,3,FALSE)</f>
        <v>23055</v>
      </c>
      <c r="R70" s="269">
        <f t="shared" si="0"/>
        <v>145</v>
      </c>
      <c r="S70" s="36" t="str">
        <f>VLOOKUP($B70,Данные!$A$1:$U$1009,15,FALSE)</f>
        <v>5000К 4000К* 3000К*</v>
      </c>
      <c r="T70" s="36">
        <f>VLOOKUP($B70,Данные!$A$1:$U$1009,7,FALSE)</f>
        <v>67</v>
      </c>
      <c r="U70" s="109" t="str">
        <f>VLOOKUP($B70,Данные!$A$1:$U$1009,16,FALSE)</f>
        <v>5 лет</v>
      </c>
      <c r="V70" s="407">
        <v>13755</v>
      </c>
    </row>
    <row r="71" spans="1:22" ht="90" customHeight="1" thickBot="1">
      <c r="A71" s="356"/>
      <c r="B71" s="13" t="s">
        <v>175</v>
      </c>
      <c r="C71" s="192">
        <f>VLOOKUP(B71,Данные!A54:Z411,26,FALSE)</f>
        <v>2030</v>
      </c>
      <c r="D71" s="337"/>
      <c r="E71" s="345"/>
      <c r="F71" s="79" t="str">
        <f>VLOOKUP($B71,Данные!$A$1:$U$1009,6,FALSE)</f>
        <v>К (концентрированная), 27 гр</v>
      </c>
      <c r="G71" s="79" t="str">
        <f>VLOOKUP($B71,Данные!$A$1:$U$1009,8,FALSE)</f>
        <v>Samsung LH351</v>
      </c>
      <c r="H71" s="79" t="str">
        <f>VLOOKUP($B71,Данные!$A$1:$U$1009,12,FALSE)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1" s="79" t="str">
        <f>VLOOKUP($B71,Данные!$A$1:$U$1009,4,FALSE)</f>
        <v>176-264В AС</v>
      </c>
      <c r="J71" s="79">
        <f>VLOOKUP($B71,Данные!$A$1:$U$1009,5,FALSE)</f>
        <v>0.95</v>
      </c>
      <c r="K71" s="79" t="str">
        <f>VLOOKUP($B71,Данные!$A$1:$U$1009,13,FALSE)</f>
        <v xml:space="preserve"> -60°...+50° С</v>
      </c>
      <c r="L71" s="79" t="str">
        <f>VLOOKUP($B71,Данные!$A$1:$U$1009,14,FALSE)</f>
        <v>100 000 ч</v>
      </c>
      <c r="M71" s="79" t="str">
        <f>VLOOKUP($B71,Данные!$A$1:$U$1009,10,FALSE)</f>
        <v>548х320х154</v>
      </c>
      <c r="N71" s="79">
        <f>VLOOKUP($B71,Данные!$A$1:$U$1009,11,FALSE)</f>
        <v>0</v>
      </c>
      <c r="O71" s="28" t="str">
        <f>VLOOKUP($B71,Данные!$A$1:$U$1009,9,FALSE)</f>
        <v>-</v>
      </c>
      <c r="P71" s="25">
        <f>VLOOKUP($B71,Данные!$A$1:$U$1009,2,FALSE)</f>
        <v>237</v>
      </c>
      <c r="Q71" s="26">
        <f>VLOOKUP($B71,Данные!$A$1:$U$1009,3,FALSE)</f>
        <v>34365</v>
      </c>
      <c r="R71" s="114">
        <f t="shared" si="0"/>
        <v>145</v>
      </c>
      <c r="S71" s="38" t="str">
        <f>VLOOKUP($B71,Данные!$A$1:$U$1009,15,FALSE)</f>
        <v>5000К 4000К* 3000К*</v>
      </c>
      <c r="T71" s="38">
        <f>VLOOKUP($B71,Данные!$A$1:$U$1009,7,FALSE)</f>
        <v>67</v>
      </c>
      <c r="U71" s="110" t="str">
        <f>VLOOKUP($B71,Данные!$A$1:$U$1009,16,FALSE)</f>
        <v>5 лет</v>
      </c>
      <c r="V71" s="408">
        <v>20255</v>
      </c>
    </row>
    <row r="72" spans="1:22" ht="90" customHeight="1">
      <c r="A72" s="354"/>
      <c r="B72" s="11" t="s">
        <v>176</v>
      </c>
      <c r="C72" s="190">
        <f>VLOOKUP(B72,Данные!A55:Z412,26,FALSE)</f>
        <v>2031</v>
      </c>
      <c r="D72" s="381" t="s">
        <v>33</v>
      </c>
      <c r="E72" s="344" t="str">
        <f>CONCATENATE(CONCATENATE("КСС: К / Г / Д / Л / Ш / М, боковая, осевая (в зав. от модели) ",$G$3,": ",$G72,CHAR(10),$H$3,": ",$H72,CHAR(10),$I$3,": ",$I72,CHAR(10),$J$3,": ",$J72,CHAR(10),$K$3,": ",$K72,CHAR(10),$L$3,": ",$L72,CHAR(10)),"*Цветовая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72" s="78" t="str">
        <f>VLOOKUP($B72,Данные!$A$1:$U$1009,6,FALSE)</f>
        <v>Г (глубокая), 58 гр</v>
      </c>
      <c r="G72" s="78" t="str">
        <f>VLOOKUP($B72,Данные!$A$1:$U$1009,8,FALSE)</f>
        <v>Samsung LH351</v>
      </c>
      <c r="H72" s="78" t="str">
        <f>VLOOKUP($B72,Данные!$A$1:$U$1009,12,FALSE)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2" s="78" t="str">
        <f>VLOOKUP($B72,Данные!$A$1:$U$1009,4,FALSE)</f>
        <v>176-264В AС</v>
      </c>
      <c r="J72" s="78">
        <f>VLOOKUP($B72,Данные!$A$1:$U$1009,5,FALSE)</f>
        <v>0.95</v>
      </c>
      <c r="K72" s="78" t="str">
        <f>VLOOKUP($B72,Данные!$A$1:$U$1009,13,FALSE)</f>
        <v xml:space="preserve"> -60°...+50° С</v>
      </c>
      <c r="L72" s="78" t="str">
        <f>VLOOKUP($B72,Данные!$A$1:$U$1009,14,FALSE)</f>
        <v>100 000 ч</v>
      </c>
      <c r="M72" s="78" t="str">
        <f>VLOOKUP($B72,Данные!$A$1:$U$1009,10,FALSE)</f>
        <v>224х320х154</v>
      </c>
      <c r="N72" s="78">
        <f>VLOOKUP($B72,Данные!$A$1:$U$1009,11,FALSE)</f>
        <v>0</v>
      </c>
      <c r="O72" s="24" t="str">
        <f>VLOOKUP($B72,Данные!$A$1:$U$1009,9,FALSE)</f>
        <v>-</v>
      </c>
      <c r="P72" s="21">
        <f>VLOOKUP($B72,Данные!$A$1:$U$1009,2,FALSE)</f>
        <v>81</v>
      </c>
      <c r="Q72" s="22">
        <f>VLOOKUP($B72,Данные!$A$1:$U$1009,3,FALSE)</f>
        <v>11745</v>
      </c>
      <c r="R72" s="113">
        <f t="shared" si="0"/>
        <v>145</v>
      </c>
      <c r="S72" s="37" t="str">
        <f>VLOOKUP($B72,Данные!$A$1:$U$1009,15,FALSE)</f>
        <v>5000К 4000К* 3000К*</v>
      </c>
      <c r="T72" s="37">
        <f>VLOOKUP($B72,Данные!$A$1:$U$1009,7,FALSE)</f>
        <v>67</v>
      </c>
      <c r="U72" s="108" t="str">
        <f>VLOOKUP($B72,Данные!$A$1:$U$1009,16,FALSE)</f>
        <v>5 лет</v>
      </c>
      <c r="V72" s="406">
        <v>8750</v>
      </c>
    </row>
    <row r="73" spans="1:22" ht="90" customHeight="1">
      <c r="A73" s="355"/>
      <c r="B73" s="12" t="s">
        <v>177</v>
      </c>
      <c r="C73" s="192">
        <f>VLOOKUP(B73,Данные!A56:Z413,26,FALSE)</f>
        <v>2032</v>
      </c>
      <c r="D73" s="382"/>
      <c r="E73" s="338"/>
      <c r="F73" s="81" t="str">
        <f>VLOOKUP($B73,Данные!$A$1:$U$1009,6,FALSE)</f>
        <v>Г (глубокая), 58 гр</v>
      </c>
      <c r="G73" s="81" t="str">
        <f>VLOOKUP($B73,Данные!$A$1:$U$1009,8,FALSE)</f>
        <v>Samsung LH351</v>
      </c>
      <c r="H73" s="81" t="str">
        <f>VLOOKUP($B73,Данные!$A$1:$U$1009,12,FALSE)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3" s="81" t="str">
        <f>VLOOKUP($B73,Данные!$A$1:$U$1009,4,FALSE)</f>
        <v>176-264В AС</v>
      </c>
      <c r="J73" s="81">
        <f>VLOOKUP($B73,Данные!$A$1:$U$1009,5,FALSE)</f>
        <v>0.95</v>
      </c>
      <c r="K73" s="81" t="str">
        <f>VLOOKUP($B73,Данные!$A$1:$U$1009,13,FALSE)</f>
        <v xml:space="preserve"> -60°...+50° С</v>
      </c>
      <c r="L73" s="81" t="str">
        <f>VLOOKUP($B73,Данные!$A$1:$U$1009,14,FALSE)</f>
        <v>100 000 ч</v>
      </c>
      <c r="M73" s="81" t="str">
        <f>VLOOKUP($B73,Данные!$A$1:$U$1009,10,FALSE)</f>
        <v>374х320х154</v>
      </c>
      <c r="N73" s="81">
        <f>VLOOKUP($B73,Данные!$A$1:$U$1009,11,FALSE)</f>
        <v>0</v>
      </c>
      <c r="O73" s="32" t="str">
        <f>VLOOKUP($B73,Данные!$A$1:$U$1009,9,FALSE)</f>
        <v>-</v>
      </c>
      <c r="P73" s="29">
        <f>VLOOKUP($B73,Данные!$A$1:$U$1009,2,FALSE)</f>
        <v>159</v>
      </c>
      <c r="Q73" s="30">
        <f>VLOOKUP($B73,Данные!$A$1:$U$1009,3,FALSE)</f>
        <v>23055</v>
      </c>
      <c r="R73" s="269">
        <f t="shared" si="0"/>
        <v>145</v>
      </c>
      <c r="S73" s="36" t="str">
        <f>VLOOKUP($B73,Данные!$A$1:$U$1009,15,FALSE)</f>
        <v>5000К 4000К* 3000К*</v>
      </c>
      <c r="T73" s="36">
        <f>VLOOKUP($B73,Данные!$A$1:$U$1009,7,FALSE)</f>
        <v>67</v>
      </c>
      <c r="U73" s="109" t="str">
        <f>VLOOKUP($B73,Данные!$A$1:$U$1009,16,FALSE)</f>
        <v>5 лет</v>
      </c>
      <c r="V73" s="407">
        <v>13755</v>
      </c>
    </row>
    <row r="74" spans="1:22" ht="90" customHeight="1" thickBot="1">
      <c r="A74" s="356"/>
      <c r="B74" s="13" t="s">
        <v>178</v>
      </c>
      <c r="C74" s="191">
        <f>VLOOKUP(B74,Данные!A57:Z414,26,FALSE)</f>
        <v>2033</v>
      </c>
      <c r="D74" s="383"/>
      <c r="E74" s="345"/>
      <c r="F74" s="79" t="str">
        <f>VLOOKUP($B74,Данные!$A$1:$U$1009,6,FALSE)</f>
        <v>Г (глубокая), 58 гр</v>
      </c>
      <c r="G74" s="79" t="str">
        <f>VLOOKUP($B74,Данные!$A$1:$U$1009,8,FALSE)</f>
        <v>Samsung LH351</v>
      </c>
      <c r="H74" s="79" t="str">
        <f>VLOOKUP($B74,Данные!$A$1:$U$1009,12,FALSE)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4" s="79" t="str">
        <f>VLOOKUP($B74,Данные!$A$1:$U$1009,4,FALSE)</f>
        <v>176-264В AС</v>
      </c>
      <c r="J74" s="79">
        <f>VLOOKUP($B74,Данные!$A$1:$U$1009,5,FALSE)</f>
        <v>0.95</v>
      </c>
      <c r="K74" s="79" t="str">
        <f>VLOOKUP($B74,Данные!$A$1:$U$1009,13,FALSE)</f>
        <v xml:space="preserve"> -60°...+50° С</v>
      </c>
      <c r="L74" s="79" t="str">
        <f>VLOOKUP($B74,Данные!$A$1:$U$1009,14,FALSE)</f>
        <v>100 000 ч</v>
      </c>
      <c r="M74" s="79" t="str">
        <f>VLOOKUP($B74,Данные!$A$1:$U$1009,10,FALSE)</f>
        <v>548х320х154</v>
      </c>
      <c r="N74" s="79">
        <f>VLOOKUP($B74,Данные!$A$1:$U$1009,11,FALSE)</f>
        <v>0</v>
      </c>
      <c r="O74" s="28" t="str">
        <f>VLOOKUP($B74,Данные!$A$1:$U$1009,9,FALSE)</f>
        <v>-</v>
      </c>
      <c r="P74" s="25">
        <f>VLOOKUP($B74,Данные!$A$1:$U$1009,2,FALSE)</f>
        <v>237</v>
      </c>
      <c r="Q74" s="26">
        <f>VLOOKUP($B74,Данные!$A$1:$U$1009,3,FALSE)</f>
        <v>34365</v>
      </c>
      <c r="R74" s="114">
        <f t="shared" si="0"/>
        <v>145</v>
      </c>
      <c r="S74" s="38" t="str">
        <f>VLOOKUP($B74,Данные!$A$1:$U$1009,15,FALSE)</f>
        <v>5000К 4000К* 3000К*</v>
      </c>
      <c r="T74" s="38">
        <f>VLOOKUP($B74,Данные!$A$1:$U$1009,7,FALSE)</f>
        <v>67</v>
      </c>
      <c r="U74" s="110" t="str">
        <f>VLOOKUP($B74,Данные!$A$1:$U$1009,16,FALSE)</f>
        <v>5 лет</v>
      </c>
      <c r="V74" s="408">
        <v>20255</v>
      </c>
    </row>
    <row r="75" spans="1:22" ht="90" customHeight="1">
      <c r="A75" s="354"/>
      <c r="B75" s="11" t="s">
        <v>179</v>
      </c>
      <c r="C75" s="190">
        <f>VLOOKUP(B75,Данные!A58:Z415,26,FALSE)</f>
        <v>2034</v>
      </c>
      <c r="D75" s="342" t="s">
        <v>33</v>
      </c>
      <c r="E75" s="344" t="str">
        <f>CONCATENATE(CONCATENATE("КСС: К / Г / Д / Л / Ш / М, боковая, осевая (в зав. от модели) ",$G$3,": ",$G75,CHAR(10),$H$3,": ",$H75,CHAR(10),$I$3,": ",$I75,CHAR(10),$J$3,": ",$J75,CHAR(10),$K$3,": ",$K75,CHAR(10),$L$3,": ",$L75,CHAR(10)),"*Цветовая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75" s="78" t="str">
        <f>VLOOKUP($B75,Данные!$A$1:$U$1009,6,FALSE)</f>
        <v>Л (полуширокая), 100 гр</v>
      </c>
      <c r="G75" s="78" t="str">
        <f>VLOOKUP($B75,Данные!$A$1:$U$1009,8,FALSE)</f>
        <v>Samsung LH351</v>
      </c>
      <c r="H75" s="78" t="str">
        <f>VLOOKUP($B75,Данные!$A$1:$U$1009,12,FALSE)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5" s="78" t="str">
        <f>VLOOKUP($B75,Данные!$A$1:$U$1009,4,FALSE)</f>
        <v>176-264В AС</v>
      </c>
      <c r="J75" s="78">
        <f>VLOOKUP($B75,Данные!$A$1:$U$1009,5,FALSE)</f>
        <v>0.95</v>
      </c>
      <c r="K75" s="78" t="str">
        <f>VLOOKUP($B75,Данные!$A$1:$U$1009,13,FALSE)</f>
        <v xml:space="preserve"> -60°...+50° С</v>
      </c>
      <c r="L75" s="78" t="str">
        <f>VLOOKUP($B75,Данные!$A$1:$U$1009,14,FALSE)</f>
        <v>100 000 ч</v>
      </c>
      <c r="M75" s="78" t="str">
        <f>VLOOKUP($B75,Данные!$A$1:$U$1009,10,FALSE)</f>
        <v>224х320х154</v>
      </c>
      <c r="N75" s="78">
        <f>VLOOKUP($B75,Данные!$A$1:$U$1009,11,FALSE)</f>
        <v>0</v>
      </c>
      <c r="O75" s="24" t="str">
        <f>VLOOKUP($B75,Данные!$A$1:$U$1009,9,FALSE)</f>
        <v>-</v>
      </c>
      <c r="P75" s="21">
        <f>VLOOKUP($B75,Данные!$A$1:$U$1009,2,FALSE)</f>
        <v>81</v>
      </c>
      <c r="Q75" s="22">
        <f>VLOOKUP($B75,Данные!$A$1:$U$1009,3,FALSE)</f>
        <v>11745</v>
      </c>
      <c r="R75" s="113">
        <f t="shared" si="0"/>
        <v>145</v>
      </c>
      <c r="S75" s="37" t="str">
        <f>VLOOKUP($B75,Данные!$A$1:$U$1009,15,FALSE)</f>
        <v>5000К 4000К* 3000К*</v>
      </c>
      <c r="T75" s="37">
        <f>VLOOKUP($B75,Данные!$A$1:$U$1009,7,FALSE)</f>
        <v>67</v>
      </c>
      <c r="U75" s="108" t="str">
        <f>VLOOKUP($B75,Данные!$A$1:$U$1009,16,FALSE)</f>
        <v>5 лет</v>
      </c>
      <c r="V75" s="406">
        <v>8750</v>
      </c>
    </row>
    <row r="76" spans="1:22" ht="90" customHeight="1">
      <c r="A76" s="355"/>
      <c r="B76" s="12" t="s">
        <v>180</v>
      </c>
      <c r="C76" s="192">
        <f>VLOOKUP(B76,Данные!A59:Z416,26,FALSE)</f>
        <v>2035</v>
      </c>
      <c r="D76" s="337"/>
      <c r="E76" s="338"/>
      <c r="F76" s="81" t="str">
        <f>VLOOKUP($B76,Данные!$A$1:$U$1009,6,FALSE)</f>
        <v>Л (полуширокая), 100 гр</v>
      </c>
      <c r="G76" s="81" t="str">
        <f>VLOOKUP($B76,Данные!$A$1:$U$1009,8,FALSE)</f>
        <v>Samsung LH351</v>
      </c>
      <c r="H76" s="81" t="str">
        <f>VLOOKUP($B76,Данные!$A$1:$U$1009,12,FALSE)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6" s="81" t="str">
        <f>VLOOKUP($B76,Данные!$A$1:$U$1009,4,FALSE)</f>
        <v>176-264В AС</v>
      </c>
      <c r="J76" s="81">
        <f>VLOOKUP($B76,Данные!$A$1:$U$1009,5,FALSE)</f>
        <v>0.95</v>
      </c>
      <c r="K76" s="81" t="str">
        <f>VLOOKUP($B76,Данные!$A$1:$U$1009,13,FALSE)</f>
        <v xml:space="preserve"> -60°...+50° С</v>
      </c>
      <c r="L76" s="81" t="str">
        <f>VLOOKUP($B76,Данные!$A$1:$U$1009,14,FALSE)</f>
        <v>100 000 ч</v>
      </c>
      <c r="M76" s="81" t="str">
        <f>VLOOKUP($B76,Данные!$A$1:$U$1009,10,FALSE)</f>
        <v>374х320х154</v>
      </c>
      <c r="N76" s="81">
        <f>VLOOKUP($B76,Данные!$A$1:$U$1009,11,FALSE)</f>
        <v>0</v>
      </c>
      <c r="O76" s="32" t="str">
        <f>VLOOKUP($B76,Данные!$A$1:$U$1009,9,FALSE)</f>
        <v>-</v>
      </c>
      <c r="P76" s="29">
        <f>VLOOKUP($B76,Данные!$A$1:$U$1009,2,FALSE)</f>
        <v>159</v>
      </c>
      <c r="Q76" s="30">
        <f>VLOOKUP($B76,Данные!$A$1:$U$1009,3,FALSE)</f>
        <v>23055</v>
      </c>
      <c r="R76" s="269">
        <f t="shared" si="0"/>
        <v>145</v>
      </c>
      <c r="S76" s="36" t="str">
        <f>VLOOKUP($B76,Данные!$A$1:$U$1009,15,FALSE)</f>
        <v>5000К 4000К* 3000К*</v>
      </c>
      <c r="T76" s="36">
        <f>VLOOKUP($B76,Данные!$A$1:$U$1009,7,FALSE)</f>
        <v>67</v>
      </c>
      <c r="U76" s="109" t="str">
        <f>VLOOKUP($B76,Данные!$A$1:$U$1009,16,FALSE)</f>
        <v>5 лет</v>
      </c>
      <c r="V76" s="407">
        <v>13755</v>
      </c>
    </row>
    <row r="77" spans="1:22" ht="90" customHeight="1" thickBot="1">
      <c r="A77" s="356"/>
      <c r="B77" s="13" t="s">
        <v>181</v>
      </c>
      <c r="C77" s="191">
        <f>VLOOKUP(B77,Данные!A60:Z417,26,FALSE)</f>
        <v>2036</v>
      </c>
      <c r="D77" s="343"/>
      <c r="E77" s="345"/>
      <c r="F77" s="79" t="str">
        <f>VLOOKUP($B77,Данные!$A$1:$U$1009,6,FALSE)</f>
        <v>Л (полуширокая), 100 гр</v>
      </c>
      <c r="G77" s="79" t="str">
        <f>VLOOKUP($B77,Данные!$A$1:$U$1009,8,FALSE)</f>
        <v>Samsung LH351</v>
      </c>
      <c r="H77" s="79" t="str">
        <f>VLOOKUP($B77,Данные!$A$1:$U$1009,12,FALSE)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7" s="79" t="str">
        <f>VLOOKUP($B77,Данные!$A$1:$U$1009,4,FALSE)</f>
        <v>176-264В AС</v>
      </c>
      <c r="J77" s="79">
        <f>VLOOKUP($B77,Данные!$A$1:$U$1009,5,FALSE)</f>
        <v>0.95</v>
      </c>
      <c r="K77" s="79" t="str">
        <f>VLOOKUP($B77,Данные!$A$1:$U$1009,13,FALSE)</f>
        <v xml:space="preserve"> -60°...+50° С</v>
      </c>
      <c r="L77" s="79" t="str">
        <f>VLOOKUP($B77,Данные!$A$1:$U$1009,14,FALSE)</f>
        <v>100 000 ч</v>
      </c>
      <c r="M77" s="79" t="str">
        <f>VLOOKUP($B77,Данные!$A$1:$U$1009,10,FALSE)</f>
        <v>548х320х154</v>
      </c>
      <c r="N77" s="79">
        <f>VLOOKUP($B77,Данные!$A$1:$U$1009,11,FALSE)</f>
        <v>0</v>
      </c>
      <c r="O77" s="28" t="str">
        <f>VLOOKUP($B77,Данные!$A$1:$U$1009,9,FALSE)</f>
        <v>-</v>
      </c>
      <c r="P77" s="25">
        <f>VLOOKUP($B77,Данные!$A$1:$U$1009,2,FALSE)</f>
        <v>237</v>
      </c>
      <c r="Q77" s="26">
        <f>VLOOKUP($B77,Данные!$A$1:$U$1009,3,FALSE)</f>
        <v>34365</v>
      </c>
      <c r="R77" s="114">
        <f t="shared" si="0"/>
        <v>145</v>
      </c>
      <c r="S77" s="38" t="str">
        <f>VLOOKUP($B77,Данные!$A$1:$U$1009,15,FALSE)</f>
        <v>5000К 4000К* 3000К*</v>
      </c>
      <c r="T77" s="38">
        <f>VLOOKUP($B77,Данные!$A$1:$U$1009,7,FALSE)</f>
        <v>67</v>
      </c>
      <c r="U77" s="110" t="str">
        <f>VLOOKUP($B77,Данные!$A$1:$U$1009,16,FALSE)</f>
        <v>5 лет</v>
      </c>
      <c r="V77" s="408">
        <v>20255</v>
      </c>
    </row>
    <row r="78" spans="1:22" ht="90" customHeight="1">
      <c r="A78" s="354"/>
      <c r="B78" s="11" t="s">
        <v>206</v>
      </c>
      <c r="C78" s="190">
        <f>VLOOKUP(B78,Данные!A61:Z418,26,FALSE)</f>
        <v>2061</v>
      </c>
      <c r="D78" s="342" t="s">
        <v>33</v>
      </c>
      <c r="E78" s="344" t="str">
        <f>CONCATENATE(CONCATENATE("КСС: К / Г / Д / Л / Ш / М, боковая, осевая (в зав. от модели) ",$G$3,": ",$G78,CHAR(10),$H$3,": ",$H78,CHAR(10),$I$3,": ",$I78,CHAR(10),$J$3,": ",$J78,CHAR(10),$K$3,": ",$K78,CHAR(10),$L$3,": ",$L78,CHAR(10)),"*Цветовая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78" s="78" t="str">
        <f>VLOOKUP($B78,Данные!$A$1:$U$1009,6,FALSE)</f>
        <v>К (концентрированная), 12 гр</v>
      </c>
      <c r="G78" s="78" t="str">
        <f>VLOOKUP($B78,Данные!$A$1:$U$1009,8,FALSE)</f>
        <v>Samsung LH351</v>
      </c>
      <c r="H78" s="78" t="str">
        <f>VLOOKUP($B78,Данные!$A$1:$U$1009,12,FALSE)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8" s="78" t="str">
        <f>VLOOKUP($B78,Данные!$A$1:$U$1009,4,FALSE)</f>
        <v>176-264В AС</v>
      </c>
      <c r="J78" s="78">
        <f>VLOOKUP($B78,Данные!$A$1:$U$1009,5,FALSE)</f>
        <v>0.95</v>
      </c>
      <c r="K78" s="78" t="str">
        <f>VLOOKUP($B78,Данные!$A$1:$U$1009,13,FALSE)</f>
        <v xml:space="preserve"> -60°...+50° С</v>
      </c>
      <c r="L78" s="78" t="str">
        <f>VLOOKUP($B78,Данные!$A$1:$U$1009,14,FALSE)</f>
        <v>100 000 ч</v>
      </c>
      <c r="M78" s="78" t="str">
        <f>VLOOKUP($B78,Данные!$A$1:$U$1009,10,FALSE)</f>
        <v>224х320х133</v>
      </c>
      <c r="N78" s="78">
        <f>VLOOKUP($B78,Данные!$A$1:$U$1009,11,FALSE)</f>
        <v>0</v>
      </c>
      <c r="O78" s="24" t="str">
        <f>VLOOKUP($B78,Данные!$A$1:$U$1009,9,FALSE)</f>
        <v>-</v>
      </c>
      <c r="P78" s="21">
        <f>VLOOKUP($B78,Данные!$A$1:$U$1009,2,FALSE)</f>
        <v>81</v>
      </c>
      <c r="Q78" s="22">
        <f>VLOOKUP($B78,Данные!$A$1:$U$1009,3,FALSE)</f>
        <v>11745</v>
      </c>
      <c r="R78" s="113">
        <f t="shared" si="0"/>
        <v>145</v>
      </c>
      <c r="S78" s="37" t="str">
        <f>VLOOKUP($B78,Данные!$A$1:$U$1009,15,FALSE)</f>
        <v>5000К 4000К* 3000К*</v>
      </c>
      <c r="T78" s="37">
        <f>VLOOKUP($B78,Данные!$A$1:$U$1009,7,FALSE)</f>
        <v>67</v>
      </c>
      <c r="U78" s="108" t="str">
        <f>VLOOKUP($B78,Данные!$A$1:$U$1009,16,FALSE)</f>
        <v>5 лет</v>
      </c>
      <c r="V78" s="406">
        <v>8750</v>
      </c>
    </row>
    <row r="79" spans="1:22" ht="90" customHeight="1">
      <c r="A79" s="355"/>
      <c r="B79" s="12" t="s">
        <v>207</v>
      </c>
      <c r="C79" s="192">
        <f>VLOOKUP(B79,Данные!A62:Z419,26,FALSE)</f>
        <v>2062</v>
      </c>
      <c r="D79" s="337"/>
      <c r="E79" s="338"/>
      <c r="F79" s="81" t="str">
        <f>VLOOKUP($B79,Данные!$A$1:$U$1009,6,FALSE)</f>
        <v>К (концентрированная), 12 гр</v>
      </c>
      <c r="G79" s="81" t="str">
        <f>VLOOKUP($B79,Данные!$A$1:$U$1009,8,FALSE)</f>
        <v>Samsung LH351</v>
      </c>
      <c r="H79" s="81" t="str">
        <f>VLOOKUP($B79,Данные!$A$1:$U$1009,12,FALSE)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9" s="81" t="str">
        <f>VLOOKUP($B79,Данные!$A$1:$U$1009,4,FALSE)</f>
        <v>176-264В AС</v>
      </c>
      <c r="J79" s="81">
        <f>VLOOKUP($B79,Данные!$A$1:$U$1009,5,FALSE)</f>
        <v>0.95</v>
      </c>
      <c r="K79" s="81" t="str">
        <f>VLOOKUP($B79,Данные!$A$1:$U$1009,13,FALSE)</f>
        <v xml:space="preserve"> -60°...+50° С</v>
      </c>
      <c r="L79" s="81" t="str">
        <f>VLOOKUP($B79,Данные!$A$1:$U$1009,14,FALSE)</f>
        <v>100 000 ч</v>
      </c>
      <c r="M79" s="81" t="str">
        <f>VLOOKUP($B79,Данные!$A$1:$U$1009,10,FALSE)</f>
        <v>374х320х133</v>
      </c>
      <c r="N79" s="81">
        <f>VLOOKUP($B79,Данные!$A$1:$U$1009,11,FALSE)</f>
        <v>0</v>
      </c>
      <c r="O79" s="32" t="str">
        <f>VLOOKUP($B79,Данные!$A$1:$U$1009,9,FALSE)</f>
        <v>-</v>
      </c>
      <c r="P79" s="29">
        <f>VLOOKUP($B79,Данные!$A$1:$U$1009,2,FALSE)</f>
        <v>159</v>
      </c>
      <c r="Q79" s="30">
        <f>VLOOKUP($B79,Данные!$A$1:$U$1009,3,FALSE)</f>
        <v>23055</v>
      </c>
      <c r="R79" s="269">
        <f t="shared" si="0"/>
        <v>145</v>
      </c>
      <c r="S79" s="36" t="str">
        <f>VLOOKUP($B79,Данные!$A$1:$U$1009,15,FALSE)</f>
        <v>5000К 4000К* 3000К*</v>
      </c>
      <c r="T79" s="36">
        <f>VLOOKUP($B79,Данные!$A$1:$U$1009,7,FALSE)</f>
        <v>67</v>
      </c>
      <c r="U79" s="109" t="str">
        <f>VLOOKUP($B79,Данные!$A$1:$U$1009,16,FALSE)</f>
        <v>5 лет</v>
      </c>
      <c r="V79" s="407">
        <v>13755</v>
      </c>
    </row>
    <row r="80" spans="1:22" ht="90" customHeight="1" thickBot="1">
      <c r="A80" s="356"/>
      <c r="B80" s="13" t="s">
        <v>208</v>
      </c>
      <c r="C80" s="191">
        <f>VLOOKUP(B80,Данные!A63:Z420,26,FALSE)</f>
        <v>2063</v>
      </c>
      <c r="D80" s="343"/>
      <c r="E80" s="345"/>
      <c r="F80" s="79" t="str">
        <f>VLOOKUP($B80,Данные!$A$1:$U$1009,6,FALSE)</f>
        <v>К (концентрированная), 12 гр</v>
      </c>
      <c r="G80" s="79" t="str">
        <f>VLOOKUP($B80,Данные!$A$1:$U$1009,8,FALSE)</f>
        <v>Samsung LH351</v>
      </c>
      <c r="H80" s="79" t="str">
        <f>VLOOKUP($B80,Данные!$A$1:$U$1009,12,FALSE)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0" s="79" t="str">
        <f>VLOOKUP($B80,Данные!$A$1:$U$1009,4,FALSE)</f>
        <v>176-264В AС</v>
      </c>
      <c r="J80" s="79">
        <f>VLOOKUP($B80,Данные!$A$1:$U$1009,5,FALSE)</f>
        <v>0.95</v>
      </c>
      <c r="K80" s="79" t="str">
        <f>VLOOKUP($B80,Данные!$A$1:$U$1009,13,FALSE)</f>
        <v xml:space="preserve"> -60°...+50° С</v>
      </c>
      <c r="L80" s="79" t="str">
        <f>VLOOKUP($B80,Данные!$A$1:$U$1009,14,FALSE)</f>
        <v>100 000 ч</v>
      </c>
      <c r="M80" s="79" t="str">
        <f>VLOOKUP($B80,Данные!$A$1:$U$1009,10,FALSE)</f>
        <v>548х320х133</v>
      </c>
      <c r="N80" s="79">
        <f>VLOOKUP($B80,Данные!$A$1:$U$1009,11,FALSE)</f>
        <v>0</v>
      </c>
      <c r="O80" s="28" t="str">
        <f>VLOOKUP($B80,Данные!$A$1:$U$1009,9,FALSE)</f>
        <v>-</v>
      </c>
      <c r="P80" s="25">
        <f>VLOOKUP($B80,Данные!$A$1:$U$1009,2,FALSE)</f>
        <v>237</v>
      </c>
      <c r="Q80" s="26">
        <f>VLOOKUP($B80,Данные!$A$1:$U$1009,3,FALSE)</f>
        <v>34365</v>
      </c>
      <c r="R80" s="114">
        <f t="shared" si="0"/>
        <v>145</v>
      </c>
      <c r="S80" s="38" t="str">
        <f>VLOOKUP($B80,Данные!$A$1:$U$1009,15,FALSE)</f>
        <v>5000К 4000К* 3000К*</v>
      </c>
      <c r="T80" s="38">
        <f>VLOOKUP($B80,Данные!$A$1:$U$1009,7,FALSE)</f>
        <v>67</v>
      </c>
      <c r="U80" s="110" t="str">
        <f>VLOOKUP($B80,Данные!$A$1:$U$1009,16,FALSE)</f>
        <v>5 лет</v>
      </c>
      <c r="V80" s="408">
        <v>20255</v>
      </c>
    </row>
    <row r="81" spans="1:22" ht="90" customHeight="1">
      <c r="A81" s="354"/>
      <c r="B81" s="11" t="s">
        <v>209</v>
      </c>
      <c r="C81" s="190">
        <f>VLOOKUP(B81,Данные!A64:Z421,26,FALSE)</f>
        <v>2064</v>
      </c>
      <c r="D81" s="342" t="s">
        <v>33</v>
      </c>
      <c r="E81" s="344" t="str">
        <f>CONCATENATE(CONCATENATE("КСС: К / Г / Д / Л / Ш / М, боковая, осевая (в зав. от модели) ",$G$3,": ",$G81,CHAR(10),$H$3,": ",$H81,CHAR(10),$I$3,": ",$I81,CHAR(10),$J$3,": ",$J81,CHAR(10),$K$3,": ",$K81,CHAR(10),$L$3,": ",$L81,CHAR(10)),"*Цветовая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81" s="78" t="str">
        <f>VLOOKUP($B81,Данные!$A$1:$U$1009,6,FALSE)</f>
        <v>К (концентрированная), 27 гр</v>
      </c>
      <c r="G81" s="78" t="str">
        <f>VLOOKUP($B81,Данные!$A$1:$U$1009,8,FALSE)</f>
        <v>Samsung LH351</v>
      </c>
      <c r="H81" s="78" t="str">
        <f>VLOOKUP($B81,Данные!$A$1:$U$1009,12,FALSE)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1" s="78" t="str">
        <f>VLOOKUP($B81,Данные!$A$1:$U$1009,4,FALSE)</f>
        <v>176-264В AС</v>
      </c>
      <c r="J81" s="78">
        <f>VLOOKUP($B81,Данные!$A$1:$U$1009,5,FALSE)</f>
        <v>0.95</v>
      </c>
      <c r="K81" s="78" t="str">
        <f>VLOOKUP($B81,Данные!$A$1:$U$1009,13,FALSE)</f>
        <v xml:space="preserve"> -60°...+50° С</v>
      </c>
      <c r="L81" s="78" t="str">
        <f>VLOOKUP($B81,Данные!$A$1:$U$1009,14,FALSE)</f>
        <v>100 000 ч</v>
      </c>
      <c r="M81" s="78" t="str">
        <f>VLOOKUP($B81,Данные!$A$1:$U$1009,10,FALSE)</f>
        <v>224х320х133</v>
      </c>
      <c r="N81" s="78">
        <f>VLOOKUP($B81,Данные!$A$1:$U$1009,11,FALSE)</f>
        <v>0</v>
      </c>
      <c r="O81" s="24" t="str">
        <f>VLOOKUP($B81,Данные!$A$1:$U$1009,9,FALSE)</f>
        <v>-</v>
      </c>
      <c r="P81" s="21">
        <f>VLOOKUP($B81,Данные!$A$1:$U$1009,2,FALSE)</f>
        <v>81</v>
      </c>
      <c r="Q81" s="22">
        <f>VLOOKUP($B81,Данные!$A$1:$U$1009,3,FALSE)</f>
        <v>11745</v>
      </c>
      <c r="R81" s="113">
        <f t="shared" si="0"/>
        <v>145</v>
      </c>
      <c r="S81" s="37" t="str">
        <f>VLOOKUP($B81,Данные!$A$1:$U$1009,15,FALSE)</f>
        <v>5000К 4000К* 3000К*</v>
      </c>
      <c r="T81" s="37">
        <f>VLOOKUP($B81,Данные!$A$1:$U$1009,7,FALSE)</f>
        <v>67</v>
      </c>
      <c r="U81" s="108" t="str">
        <f>VLOOKUP($B81,Данные!$A$1:$U$1009,16,FALSE)</f>
        <v>5 лет</v>
      </c>
      <c r="V81" s="406">
        <v>8750</v>
      </c>
    </row>
    <row r="82" spans="1:22" ht="90" customHeight="1">
      <c r="A82" s="355"/>
      <c r="B82" s="12" t="s">
        <v>210</v>
      </c>
      <c r="C82" s="192">
        <f>VLOOKUP(B82,Данные!A65:Z422,26,FALSE)</f>
        <v>2065</v>
      </c>
      <c r="D82" s="337"/>
      <c r="E82" s="338"/>
      <c r="F82" s="81" t="str">
        <f>VLOOKUP($B82,Данные!$A$1:$U$1009,6,FALSE)</f>
        <v>К (концентрированная), 27 гр</v>
      </c>
      <c r="G82" s="81" t="str">
        <f>VLOOKUP($B82,Данные!$A$1:$U$1009,8,FALSE)</f>
        <v>Samsung LH351</v>
      </c>
      <c r="H82" s="81" t="str">
        <f>VLOOKUP($B82,Данные!$A$1:$U$1009,12,FALSE)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2" s="81" t="str">
        <f>VLOOKUP($B82,Данные!$A$1:$U$1009,4,FALSE)</f>
        <v>176-264В AС</v>
      </c>
      <c r="J82" s="81">
        <f>VLOOKUP($B82,Данные!$A$1:$U$1009,5,FALSE)</f>
        <v>0.95</v>
      </c>
      <c r="K82" s="81" t="str">
        <f>VLOOKUP($B82,Данные!$A$1:$U$1009,13,FALSE)</f>
        <v xml:space="preserve"> -60°...+50° С</v>
      </c>
      <c r="L82" s="81" t="str">
        <f>VLOOKUP($B82,Данные!$A$1:$U$1009,14,FALSE)</f>
        <v>100 000 ч</v>
      </c>
      <c r="M82" s="81" t="str">
        <f>VLOOKUP($B82,Данные!$A$1:$U$1009,10,FALSE)</f>
        <v>374х320х133</v>
      </c>
      <c r="N82" s="81">
        <f>VLOOKUP($B82,Данные!$A$1:$U$1009,11,FALSE)</f>
        <v>0</v>
      </c>
      <c r="O82" s="32" t="str">
        <f>VLOOKUP($B82,Данные!$A$1:$U$1009,9,FALSE)</f>
        <v>-</v>
      </c>
      <c r="P82" s="29">
        <f>VLOOKUP($B82,Данные!$A$1:$U$1009,2,FALSE)</f>
        <v>159</v>
      </c>
      <c r="Q82" s="30">
        <f>VLOOKUP($B82,Данные!$A$1:$U$1009,3,FALSE)</f>
        <v>23055</v>
      </c>
      <c r="R82" s="269">
        <f t="shared" si="0"/>
        <v>145</v>
      </c>
      <c r="S82" s="36" t="str">
        <f>VLOOKUP($B82,Данные!$A$1:$U$1009,15,FALSE)</f>
        <v>5000К 4000К* 3000К*</v>
      </c>
      <c r="T82" s="36">
        <f>VLOOKUP($B82,Данные!$A$1:$U$1009,7,FALSE)</f>
        <v>67</v>
      </c>
      <c r="U82" s="109" t="str">
        <f>VLOOKUP($B82,Данные!$A$1:$U$1009,16,FALSE)</f>
        <v>5 лет</v>
      </c>
      <c r="V82" s="407">
        <v>13755</v>
      </c>
    </row>
    <row r="83" spans="1:22" ht="90" customHeight="1" thickBot="1">
      <c r="A83" s="356"/>
      <c r="B83" s="13" t="s">
        <v>211</v>
      </c>
      <c r="C83" s="191">
        <f>VLOOKUP(B83,Данные!A66:Z423,26,FALSE)</f>
        <v>2066</v>
      </c>
      <c r="D83" s="343"/>
      <c r="E83" s="345"/>
      <c r="F83" s="79" t="str">
        <f>VLOOKUP($B83,Данные!$A$1:$U$1009,6,FALSE)</f>
        <v>К (концентрированная), 27 гр</v>
      </c>
      <c r="G83" s="79" t="str">
        <f>VLOOKUP($B83,Данные!$A$1:$U$1009,8,FALSE)</f>
        <v>Samsung LH351</v>
      </c>
      <c r="H83" s="79" t="str">
        <f>VLOOKUP($B83,Данные!$A$1:$U$1009,12,FALSE)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3" s="79" t="str">
        <f>VLOOKUP($B83,Данные!$A$1:$U$1009,4,FALSE)</f>
        <v>176-264В AС</v>
      </c>
      <c r="J83" s="79">
        <f>VLOOKUP($B83,Данные!$A$1:$U$1009,5,FALSE)</f>
        <v>0.95</v>
      </c>
      <c r="K83" s="79" t="str">
        <f>VLOOKUP($B83,Данные!$A$1:$U$1009,13,FALSE)</f>
        <v xml:space="preserve"> -60°...+50° С</v>
      </c>
      <c r="L83" s="79" t="str">
        <f>VLOOKUP($B83,Данные!$A$1:$U$1009,14,FALSE)</f>
        <v>100 000 ч</v>
      </c>
      <c r="M83" s="79" t="str">
        <f>VLOOKUP($B83,Данные!$A$1:$U$1009,10,FALSE)</f>
        <v>548х320х133</v>
      </c>
      <c r="N83" s="79">
        <f>VLOOKUP($B83,Данные!$A$1:$U$1009,11,FALSE)</f>
        <v>0</v>
      </c>
      <c r="O83" s="28" t="str">
        <f>VLOOKUP($B83,Данные!$A$1:$U$1009,9,FALSE)</f>
        <v>-</v>
      </c>
      <c r="P83" s="25">
        <f>VLOOKUP($B83,Данные!$A$1:$U$1009,2,FALSE)</f>
        <v>237</v>
      </c>
      <c r="Q83" s="26">
        <f>VLOOKUP($B83,Данные!$A$1:$U$1009,3,FALSE)</f>
        <v>34365</v>
      </c>
      <c r="R83" s="114">
        <f t="shared" si="0"/>
        <v>145</v>
      </c>
      <c r="S83" s="38" t="str">
        <f>VLOOKUP($B83,Данные!$A$1:$U$1009,15,FALSE)</f>
        <v>5000К 4000К* 3000К*</v>
      </c>
      <c r="T83" s="38">
        <f>VLOOKUP($B83,Данные!$A$1:$U$1009,7,FALSE)</f>
        <v>67</v>
      </c>
      <c r="U83" s="110" t="str">
        <f>VLOOKUP($B83,Данные!$A$1:$U$1009,16,FALSE)</f>
        <v>5 лет</v>
      </c>
      <c r="V83" s="408">
        <v>20255</v>
      </c>
    </row>
    <row r="84" spans="1:22" ht="90" customHeight="1">
      <c r="A84" s="354"/>
      <c r="B84" s="11" t="s">
        <v>212</v>
      </c>
      <c r="C84" s="190">
        <f>VLOOKUP(B84,Данные!A67:Z424,26,FALSE)</f>
        <v>2067</v>
      </c>
      <c r="D84" s="381" t="s">
        <v>33</v>
      </c>
      <c r="E84" s="344" t="str">
        <f>CONCATENATE(CONCATENATE("КСС: К / Г / Д / Л / Ш / М, боковая, осевая (в зав. от модели) ",$G$3,": ",$G84,CHAR(10),$H$3,": ",$H84,CHAR(10),$I$3,": ",$I84,CHAR(10),$J$3,": ",$J84,CHAR(10),$K$3,": ",$K84,CHAR(10),$L$3,": ",$L84,CHAR(10)),"*Цветовая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84" s="78" t="str">
        <f>VLOOKUP($B84,Данные!$A$1:$U$1009,6,FALSE)</f>
        <v>Г (глубокая), 58 гр</v>
      </c>
      <c r="G84" s="78" t="str">
        <f>VLOOKUP($B84,Данные!$A$1:$U$1009,8,FALSE)</f>
        <v>Samsung LH351</v>
      </c>
      <c r="H84" s="78" t="str">
        <f>VLOOKUP($B84,Данные!$A$1:$U$1009,12,FALSE)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4" s="78" t="str">
        <f>VLOOKUP($B84,Данные!$A$1:$U$1009,4,FALSE)</f>
        <v>176-264В AС</v>
      </c>
      <c r="J84" s="78">
        <f>VLOOKUP($B84,Данные!$A$1:$U$1009,5,FALSE)</f>
        <v>0.95</v>
      </c>
      <c r="K84" s="78" t="str">
        <f>VLOOKUP($B84,Данные!$A$1:$U$1009,13,FALSE)</f>
        <v xml:space="preserve"> -60°...+50° С</v>
      </c>
      <c r="L84" s="78" t="str">
        <f>VLOOKUP($B84,Данные!$A$1:$U$1009,14,FALSE)</f>
        <v>100 000 ч</v>
      </c>
      <c r="M84" s="78" t="str">
        <f>VLOOKUP($B84,Данные!$A$1:$U$1009,10,FALSE)</f>
        <v>224х320х133</v>
      </c>
      <c r="N84" s="78">
        <f>VLOOKUP($B84,Данные!$A$1:$U$1009,11,FALSE)</f>
        <v>0</v>
      </c>
      <c r="O84" s="24" t="str">
        <f>VLOOKUP($B84,Данные!$A$1:$U$1009,9,FALSE)</f>
        <v>-</v>
      </c>
      <c r="P84" s="21">
        <f>VLOOKUP($B84,Данные!$A$1:$U$1009,2,FALSE)</f>
        <v>81</v>
      </c>
      <c r="Q84" s="22">
        <f>VLOOKUP($B84,Данные!$A$1:$U$1009,3,FALSE)</f>
        <v>11745</v>
      </c>
      <c r="R84" s="113">
        <f t="shared" si="0"/>
        <v>145</v>
      </c>
      <c r="S84" s="37" t="str">
        <f>VLOOKUP($B84,Данные!$A$1:$U$1009,15,FALSE)</f>
        <v>5000К 4000К* 3000К*</v>
      </c>
      <c r="T84" s="37">
        <f>VLOOKUP($B84,Данные!$A$1:$U$1009,7,FALSE)</f>
        <v>67</v>
      </c>
      <c r="U84" s="108" t="str">
        <f>VLOOKUP($B84,Данные!$A$1:$U$1009,16,FALSE)</f>
        <v>5 лет</v>
      </c>
      <c r="V84" s="406">
        <v>8750</v>
      </c>
    </row>
    <row r="85" spans="1:22" ht="90" customHeight="1">
      <c r="A85" s="355"/>
      <c r="B85" s="12" t="s">
        <v>213</v>
      </c>
      <c r="C85" s="192">
        <f>VLOOKUP(B85,Данные!A68:Z425,26,FALSE)</f>
        <v>2068</v>
      </c>
      <c r="D85" s="382"/>
      <c r="E85" s="338"/>
      <c r="F85" s="81" t="str">
        <f>VLOOKUP($B85,Данные!$A$1:$U$1009,6,FALSE)</f>
        <v>Г (глубокая), 58 гр</v>
      </c>
      <c r="G85" s="81" t="str">
        <f>VLOOKUP($B85,Данные!$A$1:$U$1009,8,FALSE)</f>
        <v>Samsung LH351</v>
      </c>
      <c r="H85" s="81" t="str">
        <f>VLOOKUP($B85,Данные!$A$1:$U$1009,12,FALSE)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5" s="81" t="str">
        <f>VLOOKUP($B85,Данные!$A$1:$U$1009,4,FALSE)</f>
        <v>176-264В AС</v>
      </c>
      <c r="J85" s="81">
        <f>VLOOKUP($B85,Данные!$A$1:$U$1009,5,FALSE)</f>
        <v>0.95</v>
      </c>
      <c r="K85" s="81" t="str">
        <f>VLOOKUP($B85,Данные!$A$1:$U$1009,13,FALSE)</f>
        <v xml:space="preserve"> -60°...+50° С</v>
      </c>
      <c r="L85" s="81" t="str">
        <f>VLOOKUP($B85,Данные!$A$1:$U$1009,14,FALSE)</f>
        <v>100 000 ч</v>
      </c>
      <c r="M85" s="81" t="str">
        <f>VLOOKUP($B85,Данные!$A$1:$U$1009,10,FALSE)</f>
        <v>374х320х133</v>
      </c>
      <c r="N85" s="81">
        <f>VLOOKUP($B85,Данные!$A$1:$U$1009,11,FALSE)</f>
        <v>0</v>
      </c>
      <c r="O85" s="32" t="str">
        <f>VLOOKUP($B85,Данные!$A$1:$U$1009,9,FALSE)</f>
        <v>-</v>
      </c>
      <c r="P85" s="29">
        <f>VLOOKUP($B85,Данные!$A$1:$U$1009,2,FALSE)</f>
        <v>159</v>
      </c>
      <c r="Q85" s="30">
        <f>VLOOKUP($B85,Данные!$A$1:$U$1009,3,FALSE)</f>
        <v>23055</v>
      </c>
      <c r="R85" s="269">
        <f t="shared" si="0"/>
        <v>145</v>
      </c>
      <c r="S85" s="36" t="str">
        <f>VLOOKUP($B85,Данные!$A$1:$U$1009,15,FALSE)</f>
        <v>5000К 4000К* 3000К*</v>
      </c>
      <c r="T85" s="36">
        <f>VLOOKUP($B85,Данные!$A$1:$U$1009,7,FALSE)</f>
        <v>67</v>
      </c>
      <c r="U85" s="109" t="str">
        <f>VLOOKUP($B85,Данные!$A$1:$U$1009,16,FALSE)</f>
        <v>5 лет</v>
      </c>
      <c r="V85" s="407">
        <v>13755</v>
      </c>
    </row>
    <row r="86" spans="1:22" ht="90" customHeight="1" thickBot="1">
      <c r="A86" s="356"/>
      <c r="B86" s="13" t="s">
        <v>214</v>
      </c>
      <c r="C86" s="191">
        <f>VLOOKUP(B86,Данные!A137:Z426,26,FALSE)</f>
        <v>2069</v>
      </c>
      <c r="D86" s="383"/>
      <c r="E86" s="345"/>
      <c r="F86" s="79" t="str">
        <f>VLOOKUP($B86,Данные!$A$1:$U$1009,6,FALSE)</f>
        <v>Г (глубокая), 58 гр</v>
      </c>
      <c r="G86" s="79" t="str">
        <f>VLOOKUP($B86,Данные!$A$1:$U$1009,8,FALSE)</f>
        <v>Samsung LH351</v>
      </c>
      <c r="H86" s="79" t="str">
        <f>VLOOKUP($B86,Данные!$A$1:$U$1009,12,FALSE)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6" s="79" t="str">
        <f>VLOOKUP($B86,Данные!$A$1:$U$1009,4,FALSE)</f>
        <v>176-264В AС</v>
      </c>
      <c r="J86" s="79">
        <f>VLOOKUP($B86,Данные!$A$1:$U$1009,5,FALSE)</f>
        <v>0.95</v>
      </c>
      <c r="K86" s="79" t="str">
        <f>VLOOKUP($B86,Данные!$A$1:$U$1009,13,FALSE)</f>
        <v xml:space="preserve"> -60°...+50° С</v>
      </c>
      <c r="L86" s="79" t="str">
        <f>VLOOKUP($B86,Данные!$A$1:$U$1009,14,FALSE)</f>
        <v>100 000 ч</v>
      </c>
      <c r="M86" s="79" t="str">
        <f>VLOOKUP($B86,Данные!$A$1:$U$1009,10,FALSE)</f>
        <v>548х320х133</v>
      </c>
      <c r="N86" s="79">
        <f>VLOOKUP($B86,Данные!$A$1:$U$1009,11,FALSE)</f>
        <v>0</v>
      </c>
      <c r="O86" s="28" t="str">
        <f>VLOOKUP($B86,Данные!$A$1:$U$1009,9,FALSE)</f>
        <v>-</v>
      </c>
      <c r="P86" s="25">
        <f>VLOOKUP($B86,Данные!$A$1:$U$1009,2,FALSE)</f>
        <v>237</v>
      </c>
      <c r="Q86" s="26">
        <f>VLOOKUP($B86,Данные!$A$1:$U$1009,3,FALSE)</f>
        <v>34365</v>
      </c>
      <c r="R86" s="114">
        <f t="shared" ref="R86:R89" si="6">Q86/P86</f>
        <v>145</v>
      </c>
      <c r="S86" s="38" t="str">
        <f>VLOOKUP($B86,Данные!$A$1:$U$1009,15,FALSE)</f>
        <v>5000К 4000К* 3000К*</v>
      </c>
      <c r="T86" s="38">
        <f>VLOOKUP($B86,Данные!$A$1:$U$1009,7,FALSE)</f>
        <v>67</v>
      </c>
      <c r="U86" s="110" t="str">
        <f>VLOOKUP($B86,Данные!$A$1:$U$1009,16,FALSE)</f>
        <v>5 лет</v>
      </c>
      <c r="V86" s="408">
        <v>20255</v>
      </c>
    </row>
    <row r="87" spans="1:22" ht="90" customHeight="1">
      <c r="A87" s="354"/>
      <c r="B87" s="11" t="s">
        <v>215</v>
      </c>
      <c r="C87" s="190">
        <f>VLOOKUP(B87,Данные!A138:Z427,26,FALSE)</f>
        <v>2070</v>
      </c>
      <c r="D87" s="342" t="s">
        <v>33</v>
      </c>
      <c r="E87" s="344" t="str">
        <f>CONCATENATE(CONCATENATE("КСС: К / Г / Д / Л / Ш / М, боковая, осевая (в зав. от модели) ",$G$3,": ",$G87,CHAR(10),$H$3,": ",$H87,CHAR(10),$I$3,": ",$I87,CHAR(10),$J$3,": ",$J87,CHAR(10),$K$3,": ",$K87,CHAR(10),$L$3,": ",$L87,CHAR(10)),"*Цветовая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87" s="78" t="str">
        <f>VLOOKUP($B87,Данные!$A$1:$U$1009,6,FALSE)</f>
        <v>Л (полуширокая), 100 гр</v>
      </c>
      <c r="G87" s="78" t="str">
        <f>VLOOKUP($B87,Данные!$A$1:$U$1009,8,FALSE)</f>
        <v>Samsung LH351</v>
      </c>
      <c r="H87" s="78" t="str">
        <f>VLOOKUP($B87,Данные!$A$1:$U$1009,12,FALSE)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7" s="78" t="str">
        <f>VLOOKUP($B87,Данные!$A$1:$U$1009,4,FALSE)</f>
        <v>176-264В AС</v>
      </c>
      <c r="J87" s="78">
        <f>VLOOKUP($B87,Данные!$A$1:$U$1009,5,FALSE)</f>
        <v>0.95</v>
      </c>
      <c r="K87" s="78" t="str">
        <f>VLOOKUP($B87,Данные!$A$1:$U$1009,13,FALSE)</f>
        <v xml:space="preserve"> -60°...+50° С</v>
      </c>
      <c r="L87" s="78" t="str">
        <f>VLOOKUP($B87,Данные!$A$1:$U$1009,14,FALSE)</f>
        <v>100 000 ч</v>
      </c>
      <c r="M87" s="78" t="str">
        <f>VLOOKUP($B87,Данные!$A$1:$U$1009,10,FALSE)</f>
        <v>224х320х133</v>
      </c>
      <c r="N87" s="78">
        <f>VLOOKUP($B87,Данные!$A$1:$U$1009,11,FALSE)</f>
        <v>0</v>
      </c>
      <c r="O87" s="24" t="str">
        <f>VLOOKUP($B87,Данные!$A$1:$U$1009,9,FALSE)</f>
        <v>-</v>
      </c>
      <c r="P87" s="21">
        <f>VLOOKUP($B87,Данные!$A$1:$U$1009,2,FALSE)</f>
        <v>81</v>
      </c>
      <c r="Q87" s="22">
        <f>VLOOKUP($B87,Данные!$A$1:$U$1009,3,FALSE)</f>
        <v>11745</v>
      </c>
      <c r="R87" s="113">
        <f t="shared" si="6"/>
        <v>145</v>
      </c>
      <c r="S87" s="37" t="str">
        <f>VLOOKUP($B87,Данные!$A$1:$U$1009,15,FALSE)</f>
        <v>5000К 4000К* 3000К*</v>
      </c>
      <c r="T87" s="37">
        <f>VLOOKUP($B87,Данные!$A$1:$U$1009,7,FALSE)</f>
        <v>67</v>
      </c>
      <c r="U87" s="108" t="str">
        <f>VLOOKUP($B87,Данные!$A$1:$U$1009,16,FALSE)</f>
        <v>5 лет</v>
      </c>
      <c r="V87" s="406">
        <v>8750</v>
      </c>
    </row>
    <row r="88" spans="1:22" ht="90" customHeight="1">
      <c r="A88" s="355"/>
      <c r="B88" s="12" t="s">
        <v>216</v>
      </c>
      <c r="C88" s="192">
        <f>VLOOKUP(B88,Данные!A139:Z428,26,FALSE)</f>
        <v>2071</v>
      </c>
      <c r="D88" s="337"/>
      <c r="E88" s="338"/>
      <c r="F88" s="81" t="str">
        <f>VLOOKUP($B88,Данные!$A$1:$U$1009,6,FALSE)</f>
        <v>Л (полуширокая), 100 гр</v>
      </c>
      <c r="G88" s="81" t="str">
        <f>VLOOKUP($B88,Данные!$A$1:$U$1009,8,FALSE)</f>
        <v>Samsung LH351</v>
      </c>
      <c r="H88" s="81" t="str">
        <f>VLOOKUP($B88,Данные!$A$1:$U$1009,12,FALSE)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8" s="81" t="str">
        <f>VLOOKUP($B88,Данные!$A$1:$U$1009,4,FALSE)</f>
        <v>176-264В AС</v>
      </c>
      <c r="J88" s="81">
        <f>VLOOKUP($B88,Данные!$A$1:$U$1009,5,FALSE)</f>
        <v>0.95</v>
      </c>
      <c r="K88" s="81" t="str">
        <f>VLOOKUP($B88,Данные!$A$1:$U$1009,13,FALSE)</f>
        <v xml:space="preserve"> -60°...+50° С</v>
      </c>
      <c r="L88" s="81" t="str">
        <f>VLOOKUP($B88,Данные!$A$1:$U$1009,14,FALSE)</f>
        <v>100 000 ч</v>
      </c>
      <c r="M88" s="81" t="str">
        <f>VLOOKUP($B88,Данные!$A$1:$U$1009,10,FALSE)</f>
        <v>374х320х133</v>
      </c>
      <c r="N88" s="81">
        <f>VLOOKUP($B88,Данные!$A$1:$U$1009,11,FALSE)</f>
        <v>0</v>
      </c>
      <c r="O88" s="32" t="str">
        <f>VLOOKUP($B88,Данные!$A$1:$U$1009,9,FALSE)</f>
        <v>-</v>
      </c>
      <c r="P88" s="29">
        <f>VLOOKUP($B88,Данные!$A$1:$U$1009,2,FALSE)</f>
        <v>159</v>
      </c>
      <c r="Q88" s="30">
        <f>VLOOKUP($B88,Данные!$A$1:$U$1009,3,FALSE)</f>
        <v>23055</v>
      </c>
      <c r="R88" s="269">
        <f t="shared" si="6"/>
        <v>145</v>
      </c>
      <c r="S88" s="36" t="str">
        <f>VLOOKUP($B88,Данные!$A$1:$U$1009,15,FALSE)</f>
        <v>5000К 4000К* 3000К*</v>
      </c>
      <c r="T88" s="36">
        <f>VLOOKUP($B88,Данные!$A$1:$U$1009,7,FALSE)</f>
        <v>67</v>
      </c>
      <c r="U88" s="109" t="str">
        <f>VLOOKUP($B88,Данные!$A$1:$U$1009,16,FALSE)</f>
        <v>5 лет</v>
      </c>
      <c r="V88" s="407">
        <v>13755</v>
      </c>
    </row>
    <row r="89" spans="1:22" ht="90" customHeight="1" thickBot="1">
      <c r="A89" s="356"/>
      <c r="B89" s="13" t="s">
        <v>217</v>
      </c>
      <c r="C89" s="191">
        <f>VLOOKUP(B89,Данные!A140:Z429,26,FALSE)</f>
        <v>2072</v>
      </c>
      <c r="D89" s="343"/>
      <c r="E89" s="345"/>
      <c r="F89" s="79" t="str">
        <f>VLOOKUP($B89,Данные!$A$1:$U$1009,6,FALSE)</f>
        <v>Л (полуширокая), 100 гр</v>
      </c>
      <c r="G89" s="79" t="str">
        <f>VLOOKUP($B89,Данные!$A$1:$U$1009,8,FALSE)</f>
        <v>Samsung LH351</v>
      </c>
      <c r="H89" s="79" t="str">
        <f>VLOOKUP($B89,Данные!$A$1:$U$1009,12,FALSE)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9" s="79" t="str">
        <f>VLOOKUP($B89,Данные!$A$1:$U$1009,4,FALSE)</f>
        <v>176-264В AС</v>
      </c>
      <c r="J89" s="79">
        <f>VLOOKUP($B89,Данные!$A$1:$U$1009,5,FALSE)</f>
        <v>0.95</v>
      </c>
      <c r="K89" s="79" t="str">
        <f>VLOOKUP($B89,Данные!$A$1:$U$1009,13,FALSE)</f>
        <v xml:space="preserve"> -60°...+50° С</v>
      </c>
      <c r="L89" s="79" t="str">
        <f>VLOOKUP($B89,Данные!$A$1:$U$1009,14,FALSE)</f>
        <v>100 000 ч</v>
      </c>
      <c r="M89" s="79" t="str">
        <f>VLOOKUP($B89,Данные!$A$1:$U$1009,10,FALSE)</f>
        <v>548х320х133</v>
      </c>
      <c r="N89" s="79">
        <f>VLOOKUP($B89,Данные!$A$1:$U$1009,11,FALSE)</f>
        <v>0</v>
      </c>
      <c r="O89" s="28" t="str">
        <f>VLOOKUP($B89,Данные!$A$1:$U$1009,9,FALSE)</f>
        <v>-</v>
      </c>
      <c r="P89" s="25">
        <f>VLOOKUP($B89,Данные!$A$1:$U$1009,2,FALSE)</f>
        <v>237</v>
      </c>
      <c r="Q89" s="26">
        <f>VLOOKUP($B89,Данные!$A$1:$U$1009,3,FALSE)</f>
        <v>34365</v>
      </c>
      <c r="R89" s="114">
        <f t="shared" si="6"/>
        <v>145</v>
      </c>
      <c r="S89" s="38" t="str">
        <f>VLOOKUP($B89,Данные!$A$1:$U$1009,15,FALSE)</f>
        <v>5000К 4000К* 3000К*</v>
      </c>
      <c r="T89" s="38">
        <f>VLOOKUP($B89,Данные!$A$1:$U$1009,7,FALSE)</f>
        <v>67</v>
      </c>
      <c r="U89" s="110" t="str">
        <f>VLOOKUP($B89,Данные!$A$1:$U$1009,16,FALSE)</f>
        <v>5 лет</v>
      </c>
      <c r="V89" s="408">
        <v>20255</v>
      </c>
    </row>
    <row r="90" spans="1:22" ht="39.9" customHeight="1" thickBot="1">
      <c r="A90" s="376" t="s">
        <v>545</v>
      </c>
      <c r="B90" s="377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7"/>
      <c r="U90" s="377"/>
      <c r="V90" s="377"/>
    </row>
    <row r="91" spans="1:22" ht="270" customHeight="1">
      <c r="A91" s="272"/>
      <c r="B91" s="11" t="s">
        <v>548</v>
      </c>
      <c r="C91" s="190">
        <f>VLOOKUP(B91,Данные!A141:Z430,26,FALSE)</f>
        <v>2075</v>
      </c>
      <c r="D91" s="270" t="s">
        <v>33</v>
      </c>
      <c r="E91" s="271" t="str">
        <f>CONCATENATE(CONCATENATE("КСС: К / Г / Д / Л / Ш / М, боковая, осевая (в зав. от модели) ",$G$3,": ",$G91,CHAR(10),$H$3,": ",$H91,CHAR(10),$I$3,": ",$I91,CHAR(10),$J$3,": ",$J91,CHAR(10),$K$3,": ",$K91,CHAR(10),$L$3,": ",$L91,CHAR(10)),"*Цветовая темп.: 5000К (по умолчанию), 3000К, 4000К (опционально)")</f>
        <v>КСС: К / Г / Д / Л / Ш / М, боковая, осевая (в зав. от модели) 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91" s="271" t="str">
        <f>VLOOKUP($B91,Данные!$A$1:$U$1009,6,FALSE)</f>
        <v>К (концентрированная), 27 гр</v>
      </c>
      <c r="G91" s="271" t="str">
        <f>VLOOKUP($B91,Данные!$A$1:$U$1009,8,FALSE)</f>
        <v>Samsung LH351</v>
      </c>
      <c r="H91" s="271" t="str">
        <f>VLOOKUP($B91,Данные!$A$1:$U$1009,12,FALSE)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91" s="271" t="str">
        <f>VLOOKUP($B91,Данные!$A$1:$U$1009,4,FALSE)</f>
        <v>176-264В AС</v>
      </c>
      <c r="J91" s="271">
        <f>VLOOKUP($B91,Данные!$A$1:$U$1009,5,FALSE)</f>
        <v>0.95</v>
      </c>
      <c r="K91" s="271" t="str">
        <f>VLOOKUP($B91,Данные!$A$1:$U$1009,13,FALSE)</f>
        <v xml:space="preserve"> -60°...+50° С</v>
      </c>
      <c r="L91" s="271" t="str">
        <f>VLOOKUP($B91,Данные!$A$1:$U$1009,14,FALSE)</f>
        <v>100 000 ч</v>
      </c>
      <c r="M91" s="271" t="str">
        <f>VLOOKUP($B91,Данные!$A$1:$U$1009,10,FALSE)</f>
        <v>548х540х160</v>
      </c>
      <c r="N91" s="271">
        <f>VLOOKUP($B91,Данные!$A$1:$U$1009,11,FALSE)</f>
        <v>0</v>
      </c>
      <c r="O91" s="24" t="str">
        <f>VLOOKUP($B91,Данные!$A$1:$U$1009,9,FALSE)</f>
        <v>-</v>
      </c>
      <c r="P91" s="21">
        <f>VLOOKUP($B91,Данные!$A$1:$U$1009,2,FALSE)</f>
        <v>395</v>
      </c>
      <c r="Q91" s="22">
        <f>VLOOKUP($B91,Данные!$A$1:$U$1009,3,FALSE)</f>
        <v>57275</v>
      </c>
      <c r="R91" s="113">
        <f t="shared" ref="R91" si="7">Q91/P91</f>
        <v>145</v>
      </c>
      <c r="S91" s="37" t="str">
        <f>VLOOKUP($B91,Данные!$A$1:$U$1009,15,FALSE)</f>
        <v>5000К 4000К* 3000К*</v>
      </c>
      <c r="T91" s="37">
        <f>VLOOKUP($B91,Данные!$A$1:$U$1009,7,FALSE)</f>
        <v>67</v>
      </c>
      <c r="U91" s="108" t="str">
        <f>VLOOKUP($B91,Данные!$A$1:$U$1009,16,FALSE)</f>
        <v>5 лет</v>
      </c>
      <c r="V91" s="406">
        <v>34465</v>
      </c>
    </row>
    <row r="92" spans="1:22" ht="60" customHeight="1">
      <c r="A92" s="384" t="s">
        <v>282</v>
      </c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385"/>
      <c r="T92" s="385"/>
      <c r="U92" s="385"/>
      <c r="V92" s="385"/>
    </row>
  </sheetData>
  <mergeCells count="94">
    <mergeCell ref="A39:A41"/>
    <mergeCell ref="D39:D41"/>
    <mergeCell ref="A30:A32"/>
    <mergeCell ref="A33:A35"/>
    <mergeCell ref="D33:D35"/>
    <mergeCell ref="E33:E35"/>
    <mergeCell ref="A13:A15"/>
    <mergeCell ref="D13:D15"/>
    <mergeCell ref="E13:E15"/>
    <mergeCell ref="D30:D32"/>
    <mergeCell ref="E30:E32"/>
    <mergeCell ref="A18:A20"/>
    <mergeCell ref="D18:D20"/>
    <mergeCell ref="E18:E20"/>
    <mergeCell ref="A27:A29"/>
    <mergeCell ref="D27:D29"/>
    <mergeCell ref="E27:E29"/>
    <mergeCell ref="A21:A23"/>
    <mergeCell ref="D21:D23"/>
    <mergeCell ref="E21:E23"/>
    <mergeCell ref="A24:A26"/>
    <mergeCell ref="A1:V1"/>
    <mergeCell ref="E2:T2"/>
    <mergeCell ref="A4:A6"/>
    <mergeCell ref="D4:D6"/>
    <mergeCell ref="E4:E6"/>
    <mergeCell ref="A2:A3"/>
    <mergeCell ref="B2:B3"/>
    <mergeCell ref="D2:D3"/>
    <mergeCell ref="U2:U3"/>
    <mergeCell ref="V2:V3"/>
    <mergeCell ref="C2:C3"/>
    <mergeCell ref="A92:V92"/>
    <mergeCell ref="A42:A44"/>
    <mergeCell ref="D42:D44"/>
    <mergeCell ref="E42:E44"/>
    <mergeCell ref="A66:A68"/>
    <mergeCell ref="D66:D68"/>
    <mergeCell ref="E66:E68"/>
    <mergeCell ref="A69:A71"/>
    <mergeCell ref="D69:D71"/>
    <mergeCell ref="E69:E71"/>
    <mergeCell ref="A72:A74"/>
    <mergeCell ref="D72:D74"/>
    <mergeCell ref="E72:E74"/>
    <mergeCell ref="A63:A65"/>
    <mergeCell ref="D63:D65"/>
    <mergeCell ref="E63:E65"/>
    <mergeCell ref="A81:A83"/>
    <mergeCell ref="D81:D83"/>
    <mergeCell ref="E81:E83"/>
    <mergeCell ref="A84:A86"/>
    <mergeCell ref="D84:D86"/>
    <mergeCell ref="E84:E86"/>
    <mergeCell ref="A78:A80"/>
    <mergeCell ref="D78:D80"/>
    <mergeCell ref="E78:E80"/>
    <mergeCell ref="A57:A59"/>
    <mergeCell ref="A36:A38"/>
    <mergeCell ref="D36:D38"/>
    <mergeCell ref="E36:E38"/>
    <mergeCell ref="E39:E41"/>
    <mergeCell ref="A75:A77"/>
    <mergeCell ref="D75:D77"/>
    <mergeCell ref="E75:E77"/>
    <mergeCell ref="D57:D59"/>
    <mergeCell ref="E57:E59"/>
    <mergeCell ref="A60:A62"/>
    <mergeCell ref="D60:D62"/>
    <mergeCell ref="E60:E62"/>
    <mergeCell ref="D24:D26"/>
    <mergeCell ref="E24:E26"/>
    <mergeCell ref="A7:A9"/>
    <mergeCell ref="D7:D9"/>
    <mergeCell ref="E7:E9"/>
    <mergeCell ref="A10:A12"/>
    <mergeCell ref="D10:D12"/>
    <mergeCell ref="E10:E12"/>
    <mergeCell ref="A90:V90"/>
    <mergeCell ref="A45:A47"/>
    <mergeCell ref="D45:D47"/>
    <mergeCell ref="E45:E47"/>
    <mergeCell ref="A51:A53"/>
    <mergeCell ref="D51:D53"/>
    <mergeCell ref="E51:E53"/>
    <mergeCell ref="A54:A56"/>
    <mergeCell ref="D54:D56"/>
    <mergeCell ref="E54:E56"/>
    <mergeCell ref="A48:A50"/>
    <mergeCell ref="D48:D50"/>
    <mergeCell ref="E48:E50"/>
    <mergeCell ref="A87:A89"/>
    <mergeCell ref="D87:D89"/>
    <mergeCell ref="E87:E89"/>
  </mergeCells>
  <pageMargins left="0.25" right="0.25" top="0.75" bottom="0.75" header="0.3" footer="0.3"/>
  <pageSetup paperSize="9" scale="49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DFF4F"/>
    <outlinePr summaryBelow="0" summaryRight="0"/>
    <pageSetUpPr fitToPage="1"/>
  </sheetPr>
  <dimension ref="A1:V52"/>
  <sheetViews>
    <sheetView view="pageBreakPreview" zoomScale="50" zoomScaleNormal="65" zoomScaleSheetLayoutView="50" workbookViewId="0">
      <pane xSplit="2" ySplit="3" topLeftCell="C4" activePane="bottomRight" state="frozen"/>
      <selection activeCell="E28" sqref="E28"/>
      <selection pane="topRight" activeCell="E28" sqref="E28"/>
      <selection pane="bottomLeft" activeCell="E28" sqref="E28"/>
      <selection pane="bottomRight" activeCell="W3" sqref="W1:Y1048576"/>
    </sheetView>
  </sheetViews>
  <sheetFormatPr defaultColWidth="9.109375" defaultRowHeight="15" outlineLevelCol="1"/>
  <cols>
    <col min="1" max="1" width="65.6640625" style="5" customWidth="1"/>
    <col min="2" max="2" width="32.6640625" style="8" customWidth="1"/>
    <col min="3" max="3" width="20.6640625" style="8" customWidth="1"/>
    <col min="4" max="4" width="25.6640625" style="5" customWidth="1"/>
    <col min="5" max="5" width="40.6640625" style="5" customWidth="1" collapsed="1"/>
    <col min="6" max="6" width="14" style="5" hidden="1" customWidth="1" outlineLevel="1"/>
    <col min="7" max="7" width="9.44140625" style="5" hidden="1" customWidth="1" outlineLevel="1"/>
    <col min="8" max="8" width="18.44140625" style="5" hidden="1" customWidth="1" outlineLevel="1"/>
    <col min="9" max="9" width="13.109375" style="5" hidden="1" customWidth="1" outlineLevel="1"/>
    <col min="10" max="10" width="7.88671875" style="5" hidden="1" customWidth="1" outlineLevel="1"/>
    <col min="11" max="11" width="13.33203125" style="5" hidden="1" customWidth="1" outlineLevel="1"/>
    <col min="12" max="12" width="11.109375" style="5" hidden="1" customWidth="1" outlineLevel="1"/>
    <col min="13" max="13" width="15.33203125" style="5" hidden="1" customWidth="1" outlineLevel="1"/>
    <col min="14" max="14" width="12.33203125" style="5" hidden="1" customWidth="1" outlineLevel="1"/>
    <col min="15" max="15" width="12.6640625" style="5" customWidth="1"/>
    <col min="16" max="16" width="14.6640625" style="5" customWidth="1"/>
    <col min="17" max="17" width="11.109375" style="5" customWidth="1"/>
    <col min="18" max="18" width="12.6640625" style="5" customWidth="1"/>
    <col min="19" max="19" width="13.6640625" style="5" customWidth="1"/>
    <col min="20" max="20" width="12.5546875" style="5" customWidth="1"/>
    <col min="21" max="21" width="14.6640625" style="5" customWidth="1"/>
    <col min="22" max="22" width="21.6640625" style="5" customWidth="1"/>
    <col min="23" max="16384" width="9.109375" style="5"/>
  </cols>
  <sheetData>
    <row r="1" spans="1:22" ht="30" customHeight="1">
      <c r="A1" s="391" t="s">
        <v>285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</row>
    <row r="2" spans="1:22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</row>
    <row r="3" spans="1:22" ht="78.75" customHeight="1" thickBot="1">
      <c r="A3" s="359"/>
      <c r="B3" s="359"/>
      <c r="C3" s="359"/>
      <c r="D3" s="359"/>
      <c r="E3" s="115" t="s">
        <v>21</v>
      </c>
      <c r="F3" s="115" t="s">
        <v>14</v>
      </c>
      <c r="G3" s="115" t="s">
        <v>6</v>
      </c>
      <c r="H3" s="115" t="s">
        <v>7</v>
      </c>
      <c r="I3" s="115" t="s">
        <v>13</v>
      </c>
      <c r="J3" s="115" t="s">
        <v>12</v>
      </c>
      <c r="K3" s="115" t="s">
        <v>11</v>
      </c>
      <c r="L3" s="115" t="s">
        <v>9</v>
      </c>
      <c r="M3" s="115" t="s">
        <v>16</v>
      </c>
      <c r="N3" s="115" t="s">
        <v>17</v>
      </c>
      <c r="O3" s="115" t="s">
        <v>2</v>
      </c>
      <c r="P3" s="115" t="s">
        <v>35</v>
      </c>
      <c r="Q3" s="115" t="s">
        <v>38</v>
      </c>
      <c r="R3" s="115" t="s">
        <v>36</v>
      </c>
      <c r="S3" s="115" t="s">
        <v>29</v>
      </c>
      <c r="T3" s="115" t="s">
        <v>3</v>
      </c>
      <c r="U3" s="364"/>
      <c r="V3" s="405"/>
    </row>
    <row r="4" spans="1:22" ht="99.9" customHeight="1">
      <c r="A4" s="387"/>
      <c r="B4" s="19" t="s">
        <v>218</v>
      </c>
      <c r="C4" s="193">
        <f>VLOOKUP(B4,Данные!A1:Z358,26,FALSE)</f>
        <v>5001</v>
      </c>
      <c r="D4" s="342" t="s">
        <v>32</v>
      </c>
      <c r="E4" s="389" t="str">
        <f>CONCATENATE(CONCATENATE($F$3,": ",$F4,CHAR(10),$G$3,": ",$G4,CHAR(10),$H$3,": ",$H4,CHAR(10),$I$3,": ",$I4,CHAR(10),$J$3,": ",$J4,CHAR(10),$K$3,": ",$K4,CHAR(10),$L$3,": ",$L4,CHAR(10)))</f>
        <v xml:space="preserve">КСС: Г (глубокая), 60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4" s="78" t="str">
        <f>VLOOKUP($B4,Данные!$A$1:$U$1009,6,FALSE)</f>
        <v>Г (глубокая), 60 гр</v>
      </c>
      <c r="G4" s="78" t="str">
        <f>VLOOKUP($B4,Данные!$A$1:$U$1009,8,FALSE)</f>
        <v>Samsung COB G2</v>
      </c>
      <c r="H4" s="78" t="str">
        <f>VLOOKUP($B4,Данные!$A$1:$U$1009,12,FALSE)</f>
        <v>Экструдированный алюминиевый профиль (анодированный), боросиликатная оптика с  силиконовой прокладкой</v>
      </c>
      <c r="I4" s="78" t="str">
        <f>VLOOKUP($B4,Данные!$A$1:$U$1009,4,FALSE)</f>
        <v>176-264В AС</v>
      </c>
      <c r="J4" s="78">
        <f>VLOOKUP($B4,Данные!$A$1:$U$1009,5,FALSE)</f>
        <v>0.95</v>
      </c>
      <c r="K4" s="78" t="str">
        <f>VLOOKUP($B4,Данные!$A$1:$U$1009,13,FALSE)</f>
        <v xml:space="preserve"> -60°...+50° С</v>
      </c>
      <c r="L4" s="78" t="str">
        <f>VLOOKUP($B4,Данные!$A$1:$U$1009,14,FALSE)</f>
        <v>60 000 ч</v>
      </c>
      <c r="M4" s="78" t="str">
        <f>VLOOKUP($B4,Данные!$A$1:$U$1009,10,FALSE)</f>
        <v>200х137х195</v>
      </c>
      <c r="N4" s="78">
        <f>VLOOKUP($B4,Данные!$A$1:$U$1009,11,FALSE)</f>
        <v>0</v>
      </c>
      <c r="O4" s="24" t="str">
        <f>VLOOKUP($B4,Данные!$A$1:$U$1009,9,FALSE)</f>
        <v>-</v>
      </c>
      <c r="P4" s="21">
        <f>VLOOKUP($B4,Данные!$A$1:$U$1009,2,FALSE)</f>
        <v>40</v>
      </c>
      <c r="Q4" s="22">
        <f>VLOOKUP($B4,Данные!$A$1:$U$1009,3,FALSE)</f>
        <v>7000</v>
      </c>
      <c r="R4" s="113">
        <f t="shared" ref="R4:R44" si="0">Q4/P4</f>
        <v>175</v>
      </c>
      <c r="S4" s="37" t="str">
        <f>VLOOKUP($B4,Данные!$A$1:$U$1009,15,FALSE)</f>
        <v>5000К</v>
      </c>
      <c r="T4" s="37">
        <f>VLOOKUP($B4,Данные!$A$1:$U$1009,7,FALSE)</f>
        <v>67</v>
      </c>
      <c r="U4" s="108" t="str">
        <f>VLOOKUP($B4,Данные!$A$1:$U$1009,16,FALSE)</f>
        <v>5 лет</v>
      </c>
      <c r="V4" s="406">
        <v>4850</v>
      </c>
    </row>
    <row r="5" spans="1:22" ht="99.9" customHeight="1" thickBot="1">
      <c r="A5" s="388"/>
      <c r="B5" s="20" t="s">
        <v>219</v>
      </c>
      <c r="C5" s="194">
        <f>VLOOKUP(B5,Данные!A2:Z359,26,FALSE)</f>
        <v>5002</v>
      </c>
      <c r="D5" s="343"/>
      <c r="E5" s="390"/>
      <c r="F5" s="79" t="str">
        <f>VLOOKUP($B5,Данные!$A$1:$U$1009,6,FALSE)</f>
        <v>Г (глубокая), 60 гр</v>
      </c>
      <c r="G5" s="79" t="str">
        <f>VLOOKUP($B5,Данные!$A$1:$U$1009,8,FALSE)</f>
        <v>Samsung COB G2</v>
      </c>
      <c r="H5" s="79" t="str">
        <f>VLOOKUP($B5,Данные!$A$1:$U$1009,12,FALSE)</f>
        <v>Экструдированный алюминиевый профиль (анодированный), боросиликатная оптика с  силиконовой прокладкой</v>
      </c>
      <c r="I5" s="79" t="str">
        <f>VLOOKUP($B5,Данные!$A$1:$U$1009,4,FALSE)</f>
        <v>176-264В AС</v>
      </c>
      <c r="J5" s="79">
        <f>VLOOKUP($B5,Данные!$A$1:$U$1009,5,FALSE)</f>
        <v>0.95</v>
      </c>
      <c r="K5" s="79" t="str">
        <f>VLOOKUP($B5,Данные!$A$1:$U$1009,13,FALSE)</f>
        <v xml:space="preserve"> -60°...+50° С</v>
      </c>
      <c r="L5" s="79" t="str">
        <f>VLOOKUP($B5,Данные!$A$1:$U$1009,14,FALSE)</f>
        <v>60 000 ч</v>
      </c>
      <c r="M5" s="79" t="str">
        <f>VLOOKUP($B5,Данные!$A$1:$U$1009,10,FALSE)</f>
        <v>250х137х195</v>
      </c>
      <c r="N5" s="79">
        <f>VLOOKUP($B5,Данные!$A$1:$U$1009,11,FALSE)</f>
        <v>0</v>
      </c>
      <c r="O5" s="28" t="str">
        <f>VLOOKUP($B5,Данные!$A$1:$U$1009,9,FALSE)</f>
        <v>-</v>
      </c>
      <c r="P5" s="25">
        <f>VLOOKUP($B5,Данные!$A$1:$U$1009,2,FALSE)</f>
        <v>60</v>
      </c>
      <c r="Q5" s="26">
        <f>VLOOKUP($B5,Данные!$A$1:$U$1009,3,FALSE)</f>
        <v>9600</v>
      </c>
      <c r="R5" s="114">
        <f t="shared" si="0"/>
        <v>160</v>
      </c>
      <c r="S5" s="38" t="str">
        <f>VLOOKUP($B5,Данные!$A$1:$U$1009,15,FALSE)</f>
        <v>5000К</v>
      </c>
      <c r="T5" s="38">
        <f>VLOOKUP($B5,Данные!$A$1:$U$1009,7,FALSE)</f>
        <v>67</v>
      </c>
      <c r="U5" s="110" t="str">
        <f>VLOOKUP($B5,Данные!$A$1:$U$1009,16,FALSE)</f>
        <v>5 лет</v>
      </c>
      <c r="V5" s="408">
        <v>4850</v>
      </c>
    </row>
    <row r="6" spans="1:22" ht="99.9" customHeight="1">
      <c r="A6" s="387"/>
      <c r="B6" s="19" t="s">
        <v>220</v>
      </c>
      <c r="C6" s="193">
        <f>VLOOKUP(B6,Данные!A3:Z360,26,FALSE)</f>
        <v>5003</v>
      </c>
      <c r="D6" s="342" t="s">
        <v>32</v>
      </c>
      <c r="E6" s="389" t="str">
        <f t="shared" ref="E6" si="1">CONCATENATE(CONCATENATE($F$3,": ",$F6,CHAR(10),$G$3,": ",$G6,CHAR(10),$H$3,": ",$H6,CHAR(10),$I$3,": ",$I6,CHAR(10),$J$3,": ",$J6,CHAR(10),$K$3,": ",$K6,CHAR(10),$L$3,": ",$L6,CHAR(10)))</f>
        <v xml:space="preserve">КСС: Л (полуширокая), 90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6" s="78" t="str">
        <f>VLOOKUP($B6,Данные!$A$1:$U$1009,6,FALSE)</f>
        <v>Л (полуширокая), 90 гр</v>
      </c>
      <c r="G6" s="78" t="str">
        <f>VLOOKUP($B6,Данные!$A$1:$U$1009,8,FALSE)</f>
        <v>Samsung COB G2</v>
      </c>
      <c r="H6" s="78" t="str">
        <f>VLOOKUP($B6,Данные!$A$1:$U$1009,12,FALSE)</f>
        <v>Экструдированный алюминиевый профиль (анодированный), боросиликатная оптика с  силиконовой прокладкой</v>
      </c>
      <c r="I6" s="78" t="str">
        <f>VLOOKUP($B6,Данные!$A$1:$U$1009,4,FALSE)</f>
        <v>176-264В AС</v>
      </c>
      <c r="J6" s="78">
        <f>VLOOKUP($B6,Данные!$A$1:$U$1009,5,FALSE)</f>
        <v>0.95</v>
      </c>
      <c r="K6" s="78" t="str">
        <f>VLOOKUP($B6,Данные!$A$1:$U$1009,13,FALSE)</f>
        <v xml:space="preserve"> -60°...+50° С</v>
      </c>
      <c r="L6" s="78" t="str">
        <f>VLOOKUP($B6,Данные!$A$1:$U$1009,14,FALSE)</f>
        <v>60 000 ч</v>
      </c>
      <c r="M6" s="78" t="str">
        <f>VLOOKUP($B6,Данные!$A$1:$U$1009,10,FALSE)</f>
        <v>200х137х195</v>
      </c>
      <c r="N6" s="78">
        <f>VLOOKUP($B6,Данные!$A$1:$U$1009,11,FALSE)</f>
        <v>0</v>
      </c>
      <c r="O6" s="24" t="str">
        <f>VLOOKUP($B6,Данные!$A$1:$U$1009,9,FALSE)</f>
        <v>-</v>
      </c>
      <c r="P6" s="21">
        <f>VLOOKUP($B6,Данные!$A$1:$U$1009,2,FALSE)</f>
        <v>40</v>
      </c>
      <c r="Q6" s="22">
        <f>VLOOKUP($B6,Данные!$A$1:$U$1009,3,FALSE)</f>
        <v>7000</v>
      </c>
      <c r="R6" s="113">
        <f t="shared" si="0"/>
        <v>175</v>
      </c>
      <c r="S6" s="37" t="str">
        <f>VLOOKUP($B6,Данные!$A$1:$U$1009,15,FALSE)</f>
        <v>5000К</v>
      </c>
      <c r="T6" s="37">
        <f>VLOOKUP($B6,Данные!$A$1:$U$1009,7,FALSE)</f>
        <v>67</v>
      </c>
      <c r="U6" s="108" t="str">
        <f>VLOOKUP($B6,Данные!$A$1:$U$1009,16,FALSE)</f>
        <v>5 лет</v>
      </c>
      <c r="V6" s="406">
        <v>4850</v>
      </c>
    </row>
    <row r="7" spans="1:22" ht="99.9" customHeight="1" thickBot="1">
      <c r="A7" s="388"/>
      <c r="B7" s="20" t="s">
        <v>221</v>
      </c>
      <c r="C7" s="194">
        <f>VLOOKUP(B7,Данные!A4:Z361,26,FALSE)</f>
        <v>5004</v>
      </c>
      <c r="D7" s="343"/>
      <c r="E7" s="390"/>
      <c r="F7" s="79" t="str">
        <f>VLOOKUP($B7,Данные!$A$1:$U$1009,6,FALSE)</f>
        <v>Л (полуширокая), 90 гр</v>
      </c>
      <c r="G7" s="79" t="str">
        <f>VLOOKUP($B7,Данные!$A$1:$U$1009,8,FALSE)</f>
        <v>Samsung COB G2</v>
      </c>
      <c r="H7" s="79" t="str">
        <f>VLOOKUP($B7,Данные!$A$1:$U$1009,12,FALSE)</f>
        <v>Экструдированный алюминиевый профиль (анодированный), боросиликатная оптика с  силиконовой прокладкой</v>
      </c>
      <c r="I7" s="79" t="str">
        <f>VLOOKUP($B7,Данные!$A$1:$U$1009,4,FALSE)</f>
        <v>176-264В AС</v>
      </c>
      <c r="J7" s="79">
        <f>VLOOKUP($B7,Данные!$A$1:$U$1009,5,FALSE)</f>
        <v>0.95</v>
      </c>
      <c r="K7" s="79" t="str">
        <f>VLOOKUP($B7,Данные!$A$1:$U$1009,13,FALSE)</f>
        <v xml:space="preserve"> -60°...+50° С</v>
      </c>
      <c r="L7" s="79" t="str">
        <f>VLOOKUP($B7,Данные!$A$1:$U$1009,14,FALSE)</f>
        <v>60 000 ч</v>
      </c>
      <c r="M7" s="79" t="str">
        <f>VLOOKUP($B7,Данные!$A$1:$U$1009,10,FALSE)</f>
        <v>250х137х195</v>
      </c>
      <c r="N7" s="79">
        <f>VLOOKUP($B7,Данные!$A$1:$U$1009,11,FALSE)</f>
        <v>0</v>
      </c>
      <c r="O7" s="28" t="str">
        <f>VLOOKUP($B7,Данные!$A$1:$U$1009,9,FALSE)</f>
        <v>-</v>
      </c>
      <c r="P7" s="25">
        <f>VLOOKUP($B7,Данные!$A$1:$U$1009,2,FALSE)</f>
        <v>60</v>
      </c>
      <c r="Q7" s="26">
        <f>VLOOKUP($B7,Данные!$A$1:$U$1009,3,FALSE)</f>
        <v>9600</v>
      </c>
      <c r="R7" s="114">
        <f t="shared" si="0"/>
        <v>160</v>
      </c>
      <c r="S7" s="38" t="str">
        <f>VLOOKUP($B7,Данные!$A$1:$U$1009,15,FALSE)</f>
        <v>5000К</v>
      </c>
      <c r="T7" s="38">
        <f>VLOOKUP($B7,Данные!$A$1:$U$1009,7,FALSE)</f>
        <v>67</v>
      </c>
      <c r="U7" s="110" t="str">
        <f>VLOOKUP($B7,Данные!$A$1:$U$1009,16,FALSE)</f>
        <v>5 лет</v>
      </c>
      <c r="V7" s="408">
        <v>4850</v>
      </c>
    </row>
    <row r="8" spans="1:22" ht="99.9" customHeight="1">
      <c r="A8" s="387"/>
      <c r="B8" s="19" t="s">
        <v>222</v>
      </c>
      <c r="C8" s="193">
        <f>VLOOKUP(B8,Данные!A5:Z362,26,FALSE)</f>
        <v>5005</v>
      </c>
      <c r="D8" s="342" t="s">
        <v>32</v>
      </c>
      <c r="E8" s="389" t="str">
        <f t="shared" ref="E8" si="2">CONCATENATE(CONCATENATE($F$3,": ",$F8,CHAR(10),$G$3,": ",$G8,CHAR(10),$H$3,": ",$H8,CHAR(10),$I$3,": ",$I8,CHAR(10),$J$3,": ",$J8,CHAR(10),$K$3,": ",$K8,CHAR(10),$L$3,": ",$L8,CHAR(10)))</f>
        <v xml:space="preserve">КСС: Ш (широкая), 120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8" s="78" t="str">
        <f>VLOOKUP($B8,Данные!$A$1:$U$1009,6,FALSE)</f>
        <v>Ш (широкая), 120 гр</v>
      </c>
      <c r="G8" s="78" t="str">
        <f>VLOOKUP($B8,Данные!$A$1:$U$1009,8,FALSE)</f>
        <v>Samsung COB G2</v>
      </c>
      <c r="H8" s="78" t="str">
        <f>VLOOKUP($B8,Данные!$A$1:$U$1009,12,FALSE)</f>
        <v>Экструдированный алюминиевый профиль (анодированный), боросиликатная оптика с  силиконовой прокладкой</v>
      </c>
      <c r="I8" s="78" t="str">
        <f>VLOOKUP($B8,Данные!$A$1:$U$1009,4,FALSE)</f>
        <v>176-264В AС</v>
      </c>
      <c r="J8" s="78">
        <f>VLOOKUP($B8,Данные!$A$1:$U$1009,5,FALSE)</f>
        <v>0.95</v>
      </c>
      <c r="K8" s="78" t="str">
        <f>VLOOKUP($B8,Данные!$A$1:$U$1009,13,FALSE)</f>
        <v xml:space="preserve"> -60°...+50° С</v>
      </c>
      <c r="L8" s="78" t="str">
        <f>VLOOKUP($B8,Данные!$A$1:$U$1009,14,FALSE)</f>
        <v>60 000 ч</v>
      </c>
      <c r="M8" s="78" t="str">
        <f>VLOOKUP($B8,Данные!$A$1:$U$1009,10,FALSE)</f>
        <v>200х137х195</v>
      </c>
      <c r="N8" s="78">
        <f>VLOOKUP($B8,Данные!$A$1:$U$1009,11,FALSE)</f>
        <v>0</v>
      </c>
      <c r="O8" s="24" t="str">
        <f>VLOOKUP($B8,Данные!$A$1:$U$1009,9,FALSE)</f>
        <v>-</v>
      </c>
      <c r="P8" s="21">
        <f>VLOOKUP($B8,Данные!$A$1:$U$1009,2,FALSE)</f>
        <v>40</v>
      </c>
      <c r="Q8" s="22">
        <f>VLOOKUP($B8,Данные!$A$1:$U$1009,3,FALSE)</f>
        <v>7000</v>
      </c>
      <c r="R8" s="113">
        <f t="shared" si="0"/>
        <v>175</v>
      </c>
      <c r="S8" s="37" t="str">
        <f>VLOOKUP($B8,Данные!$A$1:$U$1009,15,FALSE)</f>
        <v>5000К</v>
      </c>
      <c r="T8" s="37">
        <f>VLOOKUP($B8,Данные!$A$1:$U$1009,7,FALSE)</f>
        <v>67</v>
      </c>
      <c r="U8" s="108" t="str">
        <f>VLOOKUP($B8,Данные!$A$1:$U$1009,16,FALSE)</f>
        <v>5 лет</v>
      </c>
      <c r="V8" s="406">
        <v>4850</v>
      </c>
    </row>
    <row r="9" spans="1:22" ht="99.9" customHeight="1" thickBot="1">
      <c r="A9" s="388"/>
      <c r="B9" s="20" t="s">
        <v>223</v>
      </c>
      <c r="C9" s="194">
        <f>VLOOKUP(B9,Данные!A6:Z363,26,FALSE)</f>
        <v>5006</v>
      </c>
      <c r="D9" s="343"/>
      <c r="E9" s="390"/>
      <c r="F9" s="79" t="str">
        <f>VLOOKUP($B9,Данные!$A$1:$U$1009,6,FALSE)</f>
        <v>Ш (широкая), 120 гр</v>
      </c>
      <c r="G9" s="79" t="str">
        <f>VLOOKUP($B9,Данные!$A$1:$U$1009,8,FALSE)</f>
        <v>Samsung COB G2</v>
      </c>
      <c r="H9" s="79" t="str">
        <f>VLOOKUP($B9,Данные!$A$1:$U$1009,12,FALSE)</f>
        <v>Экструдированный алюминиевый профиль (анодированный), боросиликатная оптика с  силиконовой прокладкой</v>
      </c>
      <c r="I9" s="79" t="str">
        <f>VLOOKUP($B9,Данные!$A$1:$U$1009,4,FALSE)</f>
        <v>176-264В AС</v>
      </c>
      <c r="J9" s="79">
        <f>VLOOKUP($B9,Данные!$A$1:$U$1009,5,FALSE)</f>
        <v>0.95</v>
      </c>
      <c r="K9" s="79" t="str">
        <f>VLOOKUP($B9,Данные!$A$1:$U$1009,13,FALSE)</f>
        <v xml:space="preserve"> -60°...+50° С</v>
      </c>
      <c r="L9" s="79" t="str">
        <f>VLOOKUP($B9,Данные!$A$1:$U$1009,14,FALSE)</f>
        <v>60 000 ч</v>
      </c>
      <c r="M9" s="79" t="str">
        <f>VLOOKUP($B9,Данные!$A$1:$U$1009,10,FALSE)</f>
        <v>250х137х195</v>
      </c>
      <c r="N9" s="79">
        <f>VLOOKUP($B9,Данные!$A$1:$U$1009,11,FALSE)</f>
        <v>0</v>
      </c>
      <c r="O9" s="28" t="str">
        <f>VLOOKUP($B9,Данные!$A$1:$U$1009,9,FALSE)</f>
        <v>-</v>
      </c>
      <c r="P9" s="25">
        <f>VLOOKUP($B9,Данные!$A$1:$U$1009,2,FALSE)</f>
        <v>60</v>
      </c>
      <c r="Q9" s="26">
        <f>VLOOKUP($B9,Данные!$A$1:$U$1009,3,FALSE)</f>
        <v>9600</v>
      </c>
      <c r="R9" s="114">
        <f t="shared" si="0"/>
        <v>160</v>
      </c>
      <c r="S9" s="38" t="str">
        <f>VLOOKUP($B9,Данные!$A$1:$U$1009,15,FALSE)</f>
        <v>5000К</v>
      </c>
      <c r="T9" s="38">
        <f>VLOOKUP($B9,Данные!$A$1:$U$1009,7,FALSE)</f>
        <v>67</v>
      </c>
      <c r="U9" s="110" t="str">
        <f>VLOOKUP($B9,Данные!$A$1:$U$1009,16,FALSE)</f>
        <v>5 лет</v>
      </c>
      <c r="V9" s="408">
        <v>4850</v>
      </c>
    </row>
    <row r="10" spans="1:22" ht="99.9" customHeight="1">
      <c r="A10" s="387"/>
      <c r="B10" s="95" t="s">
        <v>224</v>
      </c>
      <c r="C10" s="195">
        <f>VLOOKUP(B10,Данные!A7:Z364,26,FALSE)</f>
        <v>5007</v>
      </c>
      <c r="D10" s="342" t="s">
        <v>32</v>
      </c>
      <c r="E10" s="389" t="str">
        <f t="shared" ref="E10" si="3">CONCATENATE(CONCATENATE($F$3,": ",$F10,CHAR(10),$G$3,": ",$G10,CHAR(10),$H$3,": ",$H10,CHAR(10),$I$3,": ",$I10,CHAR(10),$J$3,": ",$J10,CHAR(10),$K$3,": ",$K10,CHAR(10),$L$3,": ",$L10,CHAR(10)))</f>
        <v xml:space="preserve">КСС: Ш (широкая), боковая, 135*75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10" s="78" t="str">
        <f>VLOOKUP($B10,Данные!$A$1:$U$1009,6,FALSE)</f>
        <v>Ш (широкая), боковая, 135*75 гр</v>
      </c>
      <c r="G10" s="78" t="str">
        <f>VLOOKUP($B10,Данные!$A$1:$U$1009,8,FALSE)</f>
        <v>Samsung COB G2</v>
      </c>
      <c r="H10" s="78" t="str">
        <f>VLOOKUP($B10,Данные!$A$1:$U$1009,12,FALSE)</f>
        <v>Экструдированный алюминиевый профиль (анодированный), боросиликатная оптика с  силиконовой прокладкой</v>
      </c>
      <c r="I10" s="78" t="str">
        <f>VLOOKUP($B10,Данные!$A$1:$U$1009,4,FALSE)</f>
        <v>176-264В AС</v>
      </c>
      <c r="J10" s="78">
        <f>VLOOKUP($B10,Данные!$A$1:$U$1009,5,FALSE)</f>
        <v>0.95</v>
      </c>
      <c r="K10" s="78" t="str">
        <f>VLOOKUP($B10,Данные!$A$1:$U$1009,13,FALSE)</f>
        <v xml:space="preserve"> -60°...+50° С</v>
      </c>
      <c r="L10" s="78" t="str">
        <f>VLOOKUP($B10,Данные!$A$1:$U$1009,14,FALSE)</f>
        <v>60 000 ч</v>
      </c>
      <c r="M10" s="78" t="str">
        <f>VLOOKUP($B10,Данные!$A$1:$U$1009,10,FALSE)</f>
        <v>200х137х188</v>
      </c>
      <c r="N10" s="78">
        <f>VLOOKUP($B10,Данные!$A$1:$U$1009,11,FALSE)</f>
        <v>0</v>
      </c>
      <c r="O10" s="24" t="str">
        <f>VLOOKUP($B10,Данные!$A$1:$U$1009,9,FALSE)</f>
        <v>-</v>
      </c>
      <c r="P10" s="21">
        <f>VLOOKUP($B10,Данные!$A$1:$U$1009,2,FALSE)</f>
        <v>40</v>
      </c>
      <c r="Q10" s="22">
        <f>VLOOKUP($B10,Данные!$A$1:$U$1009,3,FALSE)</f>
        <v>7000</v>
      </c>
      <c r="R10" s="113">
        <f t="shared" si="0"/>
        <v>175</v>
      </c>
      <c r="S10" s="37" t="str">
        <f>VLOOKUP($B10,Данные!$A$1:$U$1009,15,FALSE)</f>
        <v>5000К</v>
      </c>
      <c r="T10" s="37">
        <f>VLOOKUP($B10,Данные!$A$1:$U$1009,7,FALSE)</f>
        <v>67</v>
      </c>
      <c r="U10" s="108" t="str">
        <f>VLOOKUP($B10,Данные!$A$1:$U$1009,16,FALSE)</f>
        <v>5 лет</v>
      </c>
      <c r="V10" s="406">
        <v>4850</v>
      </c>
    </row>
    <row r="11" spans="1:22" ht="99.9" customHeight="1" thickBot="1">
      <c r="A11" s="394"/>
      <c r="B11" s="96" t="s">
        <v>225</v>
      </c>
      <c r="C11" s="196">
        <f>VLOOKUP(B11,Данные!A8:Z365,26,FALSE)</f>
        <v>5008</v>
      </c>
      <c r="D11" s="343"/>
      <c r="E11" s="390"/>
      <c r="F11" s="79" t="str">
        <f>VLOOKUP($B11,Данные!$A$1:$U$1009,6,FALSE)</f>
        <v>Ш (широкая), боковая, 135*75 гр</v>
      </c>
      <c r="G11" s="79" t="str">
        <f>VLOOKUP($B11,Данные!$A$1:$U$1009,8,FALSE)</f>
        <v>Samsung COB G2</v>
      </c>
      <c r="H11" s="79" t="str">
        <f>VLOOKUP($B11,Данные!$A$1:$U$1009,12,FALSE)</f>
        <v>Экструдированный алюминиевый профиль (анодированный), боросиликатная оптика с  силиконовой прокладкой</v>
      </c>
      <c r="I11" s="79" t="str">
        <f>VLOOKUP($B11,Данные!$A$1:$U$1009,4,FALSE)</f>
        <v>176-264В AС</v>
      </c>
      <c r="J11" s="79">
        <f>VLOOKUP($B11,Данные!$A$1:$U$1009,5,FALSE)</f>
        <v>0.95</v>
      </c>
      <c r="K11" s="79" t="str">
        <f>VLOOKUP($B11,Данные!$A$1:$U$1009,13,FALSE)</f>
        <v xml:space="preserve"> -60°...+50° С</v>
      </c>
      <c r="L11" s="79" t="str">
        <f>VLOOKUP($B11,Данные!$A$1:$U$1009,14,FALSE)</f>
        <v>60 000 ч</v>
      </c>
      <c r="M11" s="79" t="str">
        <f>VLOOKUP($B11,Данные!$A$1:$U$1009,10,FALSE)</f>
        <v>250х137х188</v>
      </c>
      <c r="N11" s="79">
        <f>VLOOKUP($B11,Данные!$A$1:$U$1009,11,FALSE)</f>
        <v>0</v>
      </c>
      <c r="O11" s="28" t="str">
        <f>VLOOKUP($B11,Данные!$A$1:$U$1009,9,FALSE)</f>
        <v>-</v>
      </c>
      <c r="P11" s="25">
        <f>VLOOKUP($B11,Данные!$A$1:$U$1009,2,FALSE)</f>
        <v>60</v>
      </c>
      <c r="Q11" s="26">
        <f>VLOOKUP($B11,Данные!$A$1:$U$1009,3,FALSE)</f>
        <v>9600</v>
      </c>
      <c r="R11" s="114">
        <f t="shared" si="0"/>
        <v>160</v>
      </c>
      <c r="S11" s="38" t="str">
        <f>VLOOKUP($B11,Данные!$A$1:$U$1009,15,FALSE)</f>
        <v>5000К</v>
      </c>
      <c r="T11" s="38">
        <f>VLOOKUP($B11,Данные!$A$1:$U$1009,7,FALSE)</f>
        <v>67</v>
      </c>
      <c r="U11" s="110" t="str">
        <f>VLOOKUP($B11,Данные!$A$1:$U$1009,16,FALSE)</f>
        <v>5 лет</v>
      </c>
      <c r="V11" s="408">
        <v>4850</v>
      </c>
    </row>
    <row r="12" spans="1:22" ht="99.9" customHeight="1">
      <c r="A12" s="387"/>
      <c r="B12" s="19" t="s">
        <v>243</v>
      </c>
      <c r="C12" s="193">
        <f>VLOOKUP(B12,Данные!A9:Z366,26,FALSE)</f>
        <v>5026</v>
      </c>
      <c r="D12" s="342" t="s">
        <v>32</v>
      </c>
      <c r="E12" s="389" t="str">
        <f t="shared" ref="E12" si="4">CONCATENATE(CONCATENATE($F$3,": ",$F12,CHAR(10),$G$3,": ",$G12,CHAR(10),$H$3,": ",$H12,CHAR(10),$I$3,": ",$I12,CHAR(10),$J$3,": ",$J12,CHAR(10),$K$3,": ",$K12,CHAR(10),$L$3,": ",$L12,CHAR(10)))</f>
        <v xml:space="preserve">КСС: Г (глубокая), 60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12" s="78" t="str">
        <f>VLOOKUP($B12,Данные!$A$1:$U$1009,6,FALSE)</f>
        <v>Г (глубокая), 60 гр</v>
      </c>
      <c r="G12" s="78" t="str">
        <f>VLOOKUP($B12,Данные!$A$1:$U$1009,8,FALSE)</f>
        <v>Samsung COB G2</v>
      </c>
      <c r="H12" s="78" t="str">
        <f>VLOOKUP($B12,Данные!$A$1:$U$1009,12,FALSE)</f>
        <v>Экструдированный алюминиевый профиль (анодированный), боросиликатная оптика с  силиконовой прокладкой</v>
      </c>
      <c r="I12" s="78" t="str">
        <f>VLOOKUP($B12,Данные!$A$1:$U$1009,4,FALSE)</f>
        <v>176-264В AС</v>
      </c>
      <c r="J12" s="78">
        <f>VLOOKUP($B12,Данные!$A$1:$U$1009,5,FALSE)</f>
        <v>0.95</v>
      </c>
      <c r="K12" s="78" t="str">
        <f>VLOOKUP($B12,Данные!$A$1:$U$1009,13,FALSE)</f>
        <v xml:space="preserve"> -60°...+50° С</v>
      </c>
      <c r="L12" s="78" t="str">
        <f>VLOOKUP($B12,Данные!$A$1:$U$1009,14,FALSE)</f>
        <v>60 000 ч</v>
      </c>
      <c r="M12" s="78" t="str">
        <f>VLOOKUP($B12,Данные!$A$1:$U$1009,10,FALSE)</f>
        <v>200х137х174</v>
      </c>
      <c r="N12" s="78">
        <f>VLOOKUP($B12,Данные!$A$1:$U$1009,11,FALSE)</f>
        <v>0</v>
      </c>
      <c r="O12" s="24" t="str">
        <f>VLOOKUP($B12,Данные!$A$1:$U$1009,9,FALSE)</f>
        <v>-</v>
      </c>
      <c r="P12" s="21">
        <f>VLOOKUP($B12,Данные!$A$1:$U$1009,2,FALSE)</f>
        <v>40</v>
      </c>
      <c r="Q12" s="22">
        <f>VLOOKUP($B12,Данные!$A$1:$U$1009,3,FALSE)</f>
        <v>7000</v>
      </c>
      <c r="R12" s="113">
        <f t="shared" si="0"/>
        <v>175</v>
      </c>
      <c r="S12" s="37" t="str">
        <f>VLOOKUP($B12,Данные!$A$1:$U$1009,15,FALSE)</f>
        <v>5000К</v>
      </c>
      <c r="T12" s="37">
        <f>VLOOKUP($B12,Данные!$A$1:$U$1009,7,FALSE)</f>
        <v>67</v>
      </c>
      <c r="U12" s="108" t="str">
        <f>VLOOKUP($B12,Данные!$A$1:$U$1009,16,FALSE)</f>
        <v>5 лет</v>
      </c>
      <c r="V12" s="406">
        <v>4850</v>
      </c>
    </row>
    <row r="13" spans="1:22" ht="99.9" customHeight="1" thickBot="1">
      <c r="A13" s="388"/>
      <c r="B13" s="20" t="s">
        <v>242</v>
      </c>
      <c r="C13" s="194">
        <f>VLOOKUP(B13,Данные!A10:Z367,26,FALSE)</f>
        <v>5025</v>
      </c>
      <c r="D13" s="343"/>
      <c r="E13" s="390"/>
      <c r="F13" s="79" t="str">
        <f>VLOOKUP($B13,Данные!$A$1:$U$1009,6,FALSE)</f>
        <v>Г (глубокая), 60 гр</v>
      </c>
      <c r="G13" s="79" t="str">
        <f>VLOOKUP($B13,Данные!$A$1:$U$1009,8,FALSE)</f>
        <v>Samsung COB G2</v>
      </c>
      <c r="H13" s="79" t="str">
        <f>VLOOKUP($B13,Данные!$A$1:$U$1009,12,FALSE)</f>
        <v>Экструдированный алюминиевый профиль (анодированный), боросиликатная оптика с  силиконовой прокладкой</v>
      </c>
      <c r="I13" s="79" t="str">
        <f>VLOOKUP($B13,Данные!$A$1:$U$1009,4,FALSE)</f>
        <v>176-264В AС</v>
      </c>
      <c r="J13" s="79">
        <f>VLOOKUP($B13,Данные!$A$1:$U$1009,5,FALSE)</f>
        <v>0.95</v>
      </c>
      <c r="K13" s="79" t="str">
        <f>VLOOKUP($B13,Данные!$A$1:$U$1009,13,FALSE)</f>
        <v xml:space="preserve"> -60°...+50° С</v>
      </c>
      <c r="L13" s="79" t="str">
        <f>VLOOKUP($B13,Данные!$A$1:$U$1009,14,FALSE)</f>
        <v>60 000 ч</v>
      </c>
      <c r="M13" s="79" t="str">
        <f>VLOOKUP($B13,Данные!$A$1:$U$1009,10,FALSE)</f>
        <v>274х137х174</v>
      </c>
      <c r="N13" s="79">
        <f>VLOOKUP($B13,Данные!$A$1:$U$1009,11,FALSE)</f>
        <v>0</v>
      </c>
      <c r="O13" s="28" t="str">
        <f>VLOOKUP($B13,Данные!$A$1:$U$1009,9,FALSE)</f>
        <v>-</v>
      </c>
      <c r="P13" s="25">
        <f>VLOOKUP($B13,Данные!$A$1:$U$1009,2,FALSE)</f>
        <v>60</v>
      </c>
      <c r="Q13" s="26">
        <f>VLOOKUP($B13,Данные!$A$1:$U$1009,3,FALSE)</f>
        <v>9600</v>
      </c>
      <c r="R13" s="114">
        <f t="shared" si="0"/>
        <v>160</v>
      </c>
      <c r="S13" s="38" t="str">
        <f>VLOOKUP($B13,Данные!$A$1:$U$1009,15,FALSE)</f>
        <v>5000К</v>
      </c>
      <c r="T13" s="38">
        <f>VLOOKUP($B13,Данные!$A$1:$U$1009,7,FALSE)</f>
        <v>67</v>
      </c>
      <c r="U13" s="110" t="str">
        <f>VLOOKUP($B13,Данные!$A$1:$U$1009,16,FALSE)</f>
        <v>5 лет</v>
      </c>
      <c r="V13" s="408">
        <v>4850</v>
      </c>
    </row>
    <row r="14" spans="1:22" ht="99.9" customHeight="1">
      <c r="A14" s="387"/>
      <c r="B14" s="19" t="s">
        <v>244</v>
      </c>
      <c r="C14" s="193">
        <f>VLOOKUP(B14,Данные!A11:Z368,26,FALSE)</f>
        <v>5027</v>
      </c>
      <c r="D14" s="342" t="s">
        <v>32</v>
      </c>
      <c r="E14" s="389" t="str">
        <f t="shared" ref="E14" si="5">CONCATENATE(CONCATENATE($F$3,": ",$F14,CHAR(10),$G$3,": ",$G14,CHAR(10),$H$3,": ",$H14,CHAR(10),$I$3,": ",$I14,CHAR(10),$J$3,": ",$J14,CHAR(10),$K$3,": ",$K14,CHAR(10),$L$3,": ",$L14,CHAR(10)))</f>
        <v xml:space="preserve">КСС: Л (полуширокая), 90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14" s="78" t="str">
        <f>VLOOKUP($B14,Данные!$A$1:$U$1009,6,FALSE)</f>
        <v>Л (полуширокая), 90 гр</v>
      </c>
      <c r="G14" s="78" t="str">
        <f>VLOOKUP($B14,Данные!$A$1:$U$1009,8,FALSE)</f>
        <v>Samsung COB G2</v>
      </c>
      <c r="H14" s="78" t="str">
        <f>VLOOKUP($B14,Данные!$A$1:$U$1009,12,FALSE)</f>
        <v>Экструдированный алюминиевый профиль (анодированный), боросиликатная оптика с  силиконовой прокладкой</v>
      </c>
      <c r="I14" s="78" t="str">
        <f>VLOOKUP($B14,Данные!$A$1:$U$1009,4,FALSE)</f>
        <v>176-264В AС</v>
      </c>
      <c r="J14" s="78">
        <f>VLOOKUP($B14,Данные!$A$1:$U$1009,5,FALSE)</f>
        <v>0.95</v>
      </c>
      <c r="K14" s="78" t="str">
        <f>VLOOKUP($B14,Данные!$A$1:$U$1009,13,FALSE)</f>
        <v xml:space="preserve"> -60°...+50° С</v>
      </c>
      <c r="L14" s="78" t="str">
        <f>VLOOKUP($B14,Данные!$A$1:$U$1009,14,FALSE)</f>
        <v>60 000 ч</v>
      </c>
      <c r="M14" s="78" t="str">
        <f>VLOOKUP($B14,Данные!$A$1:$U$1009,10,FALSE)</f>
        <v>200х137х174</v>
      </c>
      <c r="N14" s="78">
        <f>VLOOKUP($B14,Данные!$A$1:$U$1009,11,FALSE)</f>
        <v>0</v>
      </c>
      <c r="O14" s="24" t="str">
        <f>VLOOKUP($B14,Данные!$A$1:$U$1009,9,FALSE)</f>
        <v>-</v>
      </c>
      <c r="P14" s="21">
        <f>VLOOKUP($B14,Данные!$A$1:$U$1009,2,FALSE)</f>
        <v>40</v>
      </c>
      <c r="Q14" s="22">
        <f>VLOOKUP($B14,Данные!$A$1:$U$1009,3,FALSE)</f>
        <v>7000</v>
      </c>
      <c r="R14" s="113">
        <f t="shared" si="0"/>
        <v>175</v>
      </c>
      <c r="S14" s="37" t="str">
        <f>VLOOKUP($B14,Данные!$A$1:$U$1009,15,FALSE)</f>
        <v>5000К</v>
      </c>
      <c r="T14" s="37">
        <f>VLOOKUP($B14,Данные!$A$1:$U$1009,7,FALSE)</f>
        <v>67</v>
      </c>
      <c r="U14" s="108" t="str">
        <f>VLOOKUP($B14,Данные!$A$1:$U$1009,16,FALSE)</f>
        <v>5 лет</v>
      </c>
      <c r="V14" s="406">
        <v>4850</v>
      </c>
    </row>
    <row r="15" spans="1:22" ht="99.9" customHeight="1" thickBot="1">
      <c r="A15" s="388"/>
      <c r="B15" s="20" t="s">
        <v>245</v>
      </c>
      <c r="C15" s="194">
        <f>VLOOKUP(B15,Данные!A12:Z369,26,FALSE)</f>
        <v>5028</v>
      </c>
      <c r="D15" s="343"/>
      <c r="E15" s="390"/>
      <c r="F15" s="79" t="str">
        <f>VLOOKUP($B15,Данные!$A$1:$U$1009,6,FALSE)</f>
        <v>Л (полуширокая), 90 гр</v>
      </c>
      <c r="G15" s="79" t="str">
        <f>VLOOKUP($B15,Данные!$A$1:$U$1009,8,FALSE)</f>
        <v>Samsung COB G2</v>
      </c>
      <c r="H15" s="79" t="str">
        <f>VLOOKUP($B15,Данные!$A$1:$U$1009,12,FALSE)</f>
        <v>Экструдированный алюминиевый профиль (анодированный), боросиликатная оптика с  силиконовой прокладкой</v>
      </c>
      <c r="I15" s="79" t="str">
        <f>VLOOKUP($B15,Данные!$A$1:$U$1009,4,FALSE)</f>
        <v>176-264В AС</v>
      </c>
      <c r="J15" s="79">
        <f>VLOOKUP($B15,Данные!$A$1:$U$1009,5,FALSE)</f>
        <v>0.95</v>
      </c>
      <c r="K15" s="79" t="str">
        <f>VLOOKUP($B15,Данные!$A$1:$U$1009,13,FALSE)</f>
        <v xml:space="preserve"> -60°...+50° С</v>
      </c>
      <c r="L15" s="79" t="str">
        <f>VLOOKUP($B15,Данные!$A$1:$U$1009,14,FALSE)</f>
        <v>60 000 ч</v>
      </c>
      <c r="M15" s="79" t="str">
        <f>VLOOKUP($B15,Данные!$A$1:$U$1009,10,FALSE)</f>
        <v>274х137х174</v>
      </c>
      <c r="N15" s="79">
        <f>VLOOKUP($B15,Данные!$A$1:$U$1009,11,FALSE)</f>
        <v>0</v>
      </c>
      <c r="O15" s="28" t="str">
        <f>VLOOKUP($B15,Данные!$A$1:$U$1009,9,FALSE)</f>
        <v>-</v>
      </c>
      <c r="P15" s="25">
        <f>VLOOKUP($B15,Данные!$A$1:$U$1009,2,FALSE)</f>
        <v>60</v>
      </c>
      <c r="Q15" s="26">
        <f>VLOOKUP($B15,Данные!$A$1:$U$1009,3,FALSE)</f>
        <v>9600</v>
      </c>
      <c r="R15" s="114">
        <f t="shared" si="0"/>
        <v>160</v>
      </c>
      <c r="S15" s="38" t="str">
        <f>VLOOKUP($B15,Данные!$A$1:$U$1009,15,FALSE)</f>
        <v>5000К</v>
      </c>
      <c r="T15" s="38">
        <f>VLOOKUP($B15,Данные!$A$1:$U$1009,7,FALSE)</f>
        <v>67</v>
      </c>
      <c r="U15" s="110" t="str">
        <f>VLOOKUP($B15,Данные!$A$1:$U$1009,16,FALSE)</f>
        <v>5 лет</v>
      </c>
      <c r="V15" s="408">
        <v>4850</v>
      </c>
    </row>
    <row r="16" spans="1:22" ht="99.9" customHeight="1">
      <c r="A16" s="387"/>
      <c r="B16" s="19" t="s">
        <v>246</v>
      </c>
      <c r="C16" s="193">
        <f>VLOOKUP(B16,Данные!A13:Z370,26,FALSE)</f>
        <v>5029</v>
      </c>
      <c r="D16" s="342" t="s">
        <v>32</v>
      </c>
      <c r="E16" s="389" t="str">
        <f t="shared" ref="E16" si="6">CONCATENATE(CONCATENATE($F$3,": ",$F16,CHAR(10),$G$3,": ",$G16,CHAR(10),$H$3,": ",$H16,CHAR(10),$I$3,": ",$I16,CHAR(10),$J$3,": ",$J16,CHAR(10),$K$3,": ",$K16,CHAR(10),$L$3,": ",$L16,CHAR(10)))</f>
        <v xml:space="preserve">КСС: Ш (широкая), 120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16" s="78" t="str">
        <f>VLOOKUP($B16,Данные!$A$1:$U$1009,6,FALSE)</f>
        <v>Ш (широкая), 120 гр</v>
      </c>
      <c r="G16" s="78" t="str">
        <f>VLOOKUP($B16,Данные!$A$1:$U$1009,8,FALSE)</f>
        <v>Samsung COB G2</v>
      </c>
      <c r="H16" s="78" t="str">
        <f>VLOOKUP($B16,Данные!$A$1:$U$1009,12,FALSE)</f>
        <v>Экструдированный алюминиевый профиль (анодированный), боросиликатная оптика с  силиконовой прокладкой</v>
      </c>
      <c r="I16" s="78" t="str">
        <f>VLOOKUP($B16,Данные!$A$1:$U$1009,4,FALSE)</f>
        <v>176-264В AС</v>
      </c>
      <c r="J16" s="78">
        <f>VLOOKUP($B16,Данные!$A$1:$U$1009,5,FALSE)</f>
        <v>0.95</v>
      </c>
      <c r="K16" s="78" t="str">
        <f>VLOOKUP($B16,Данные!$A$1:$U$1009,13,FALSE)</f>
        <v xml:space="preserve"> -60°...+50° С</v>
      </c>
      <c r="L16" s="78" t="str">
        <f>VLOOKUP($B16,Данные!$A$1:$U$1009,14,FALSE)</f>
        <v>60 000 ч</v>
      </c>
      <c r="M16" s="78" t="str">
        <f>VLOOKUP($B16,Данные!$A$1:$U$1009,10,FALSE)</f>
        <v>200х137х174</v>
      </c>
      <c r="N16" s="78">
        <f>VLOOKUP($B16,Данные!$A$1:$U$1009,11,FALSE)</f>
        <v>0</v>
      </c>
      <c r="O16" s="24" t="str">
        <f>VLOOKUP($B16,Данные!$A$1:$U$1009,9,FALSE)</f>
        <v>-</v>
      </c>
      <c r="P16" s="21">
        <f>VLOOKUP($B16,Данные!$A$1:$U$1009,2,FALSE)</f>
        <v>40</v>
      </c>
      <c r="Q16" s="22">
        <f>VLOOKUP($B16,Данные!$A$1:$U$1009,3,FALSE)</f>
        <v>7000</v>
      </c>
      <c r="R16" s="113">
        <f t="shared" si="0"/>
        <v>175</v>
      </c>
      <c r="S16" s="37" t="str">
        <f>VLOOKUP($B16,Данные!$A$1:$U$1009,15,FALSE)</f>
        <v>5000К</v>
      </c>
      <c r="T16" s="37">
        <f>VLOOKUP($B16,Данные!$A$1:$U$1009,7,FALSE)</f>
        <v>67</v>
      </c>
      <c r="U16" s="108" t="str">
        <f>VLOOKUP($B16,Данные!$A$1:$U$1009,16,FALSE)</f>
        <v>5 лет</v>
      </c>
      <c r="V16" s="406">
        <v>4850</v>
      </c>
    </row>
    <row r="17" spans="1:22" ht="99.9" customHeight="1" thickBot="1">
      <c r="A17" s="388"/>
      <c r="B17" s="20" t="s">
        <v>247</v>
      </c>
      <c r="C17" s="194">
        <f>VLOOKUP(B17,Данные!A14:Z371,26,FALSE)</f>
        <v>5030</v>
      </c>
      <c r="D17" s="343"/>
      <c r="E17" s="390"/>
      <c r="F17" s="79" t="str">
        <f>VLOOKUP($B17,Данные!$A$1:$U$1009,6,FALSE)</f>
        <v>Ш (широкая), 120 гр</v>
      </c>
      <c r="G17" s="79" t="str">
        <f>VLOOKUP($B17,Данные!$A$1:$U$1009,8,FALSE)</f>
        <v>Samsung COB G2</v>
      </c>
      <c r="H17" s="79" t="str">
        <f>VLOOKUP($B17,Данные!$A$1:$U$1009,12,FALSE)</f>
        <v>Экструдированный алюминиевый профиль (анодированный), боросиликатная оптика с  силиконовой прокладкой</v>
      </c>
      <c r="I17" s="79" t="str">
        <f>VLOOKUP($B17,Данные!$A$1:$U$1009,4,FALSE)</f>
        <v>176-264В AС</v>
      </c>
      <c r="J17" s="79">
        <f>VLOOKUP($B17,Данные!$A$1:$U$1009,5,FALSE)</f>
        <v>0.95</v>
      </c>
      <c r="K17" s="79" t="str">
        <f>VLOOKUP($B17,Данные!$A$1:$U$1009,13,FALSE)</f>
        <v xml:space="preserve"> -60°...+50° С</v>
      </c>
      <c r="L17" s="79" t="str">
        <f>VLOOKUP($B17,Данные!$A$1:$U$1009,14,FALSE)</f>
        <v>60 000 ч</v>
      </c>
      <c r="M17" s="79" t="str">
        <f>VLOOKUP($B17,Данные!$A$1:$U$1009,10,FALSE)</f>
        <v>274х137х174</v>
      </c>
      <c r="N17" s="79">
        <f>VLOOKUP($B17,Данные!$A$1:$U$1009,11,FALSE)</f>
        <v>0</v>
      </c>
      <c r="O17" s="28" t="str">
        <f>VLOOKUP($B17,Данные!$A$1:$U$1009,9,FALSE)</f>
        <v>-</v>
      </c>
      <c r="P17" s="25">
        <f>VLOOKUP($B17,Данные!$A$1:$U$1009,2,FALSE)</f>
        <v>60</v>
      </c>
      <c r="Q17" s="26">
        <f>VLOOKUP($B17,Данные!$A$1:$U$1009,3,FALSE)</f>
        <v>9600</v>
      </c>
      <c r="R17" s="114">
        <f t="shared" si="0"/>
        <v>160</v>
      </c>
      <c r="S17" s="38" t="str">
        <f>VLOOKUP($B17,Данные!$A$1:$U$1009,15,FALSE)</f>
        <v>5000К</v>
      </c>
      <c r="T17" s="38">
        <f>VLOOKUP($B17,Данные!$A$1:$U$1009,7,FALSE)</f>
        <v>67</v>
      </c>
      <c r="U17" s="110" t="str">
        <f>VLOOKUP($B17,Данные!$A$1:$U$1009,16,FALSE)</f>
        <v>5 лет</v>
      </c>
      <c r="V17" s="408">
        <v>4850</v>
      </c>
    </row>
    <row r="18" spans="1:22" ht="99.9" customHeight="1">
      <c r="A18" s="387"/>
      <c r="B18" s="19" t="s">
        <v>248</v>
      </c>
      <c r="C18" s="193">
        <f>VLOOKUP(B18,Данные!A15:Z372,26,FALSE)</f>
        <v>5031</v>
      </c>
      <c r="D18" s="342" t="s">
        <v>32</v>
      </c>
      <c r="E18" s="389" t="str">
        <f t="shared" ref="E18" si="7">CONCATENATE(CONCATENATE($F$3,": ",$F18,CHAR(10),$G$3,": ",$G18,CHAR(10),$H$3,": ",$H18,CHAR(10),$I$3,": ",$I18,CHAR(10),$J$3,": ",$J18,CHAR(10),$K$3,": ",$K18,CHAR(10),$L$3,": ",$L18,CHAR(10)))</f>
        <v xml:space="preserve">КСС: Ш (широкая), боковая, 135*75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18" s="78" t="str">
        <f>VLOOKUP($B18,Данные!$A$1:$U$1009,6,FALSE)</f>
        <v>Ш (широкая), боковая, 135*75 гр</v>
      </c>
      <c r="G18" s="78" t="str">
        <f>VLOOKUP($B18,Данные!$A$1:$U$1009,8,FALSE)</f>
        <v>Samsung COB G2</v>
      </c>
      <c r="H18" s="78" t="str">
        <f>VLOOKUP($B18,Данные!$A$1:$U$1009,12,FALSE)</f>
        <v>Экструдированный алюминиевый профиль (анодированный), боросиликатная оптика с  силиконовой прокладкой</v>
      </c>
      <c r="I18" s="78" t="str">
        <f>VLOOKUP($B18,Данные!$A$1:$U$1009,4,FALSE)</f>
        <v>176-264В AС</v>
      </c>
      <c r="J18" s="78">
        <f>VLOOKUP($B18,Данные!$A$1:$U$1009,5,FALSE)</f>
        <v>0.95</v>
      </c>
      <c r="K18" s="78" t="str">
        <f>VLOOKUP($B18,Данные!$A$1:$U$1009,13,FALSE)</f>
        <v xml:space="preserve"> -60°...+50° С</v>
      </c>
      <c r="L18" s="78" t="str">
        <f>VLOOKUP($B18,Данные!$A$1:$U$1009,14,FALSE)</f>
        <v>60 000 ч</v>
      </c>
      <c r="M18" s="78" t="str">
        <f>VLOOKUP($B18,Данные!$A$1:$U$1009,10,FALSE)</f>
        <v>200х137х166</v>
      </c>
      <c r="N18" s="78">
        <f>VLOOKUP($B18,Данные!$A$1:$U$1009,11,FALSE)</f>
        <v>0</v>
      </c>
      <c r="O18" s="24" t="str">
        <f>VLOOKUP($B18,Данные!$A$1:$U$1009,9,FALSE)</f>
        <v>-</v>
      </c>
      <c r="P18" s="21">
        <f>VLOOKUP($B18,Данные!$A$1:$U$1009,2,FALSE)</f>
        <v>40</v>
      </c>
      <c r="Q18" s="22">
        <f>VLOOKUP($B18,Данные!$A$1:$U$1009,3,FALSE)</f>
        <v>7000</v>
      </c>
      <c r="R18" s="113">
        <f t="shared" si="0"/>
        <v>175</v>
      </c>
      <c r="S18" s="37" t="str">
        <f>VLOOKUP($B18,Данные!$A$1:$U$1009,15,FALSE)</f>
        <v>5000К</v>
      </c>
      <c r="T18" s="37">
        <f>VLOOKUP($B18,Данные!$A$1:$U$1009,7,FALSE)</f>
        <v>67</v>
      </c>
      <c r="U18" s="108" t="str">
        <f>VLOOKUP($B18,Данные!$A$1:$U$1009,16,FALSE)</f>
        <v>5 лет</v>
      </c>
      <c r="V18" s="406">
        <v>4850</v>
      </c>
    </row>
    <row r="19" spans="1:22" ht="99.9" customHeight="1" thickBot="1">
      <c r="A19" s="388"/>
      <c r="B19" s="20" t="s">
        <v>249</v>
      </c>
      <c r="C19" s="194">
        <f>VLOOKUP(B19,Данные!A16:Z373,26,FALSE)</f>
        <v>5032</v>
      </c>
      <c r="D19" s="343"/>
      <c r="E19" s="390"/>
      <c r="F19" s="79" t="str">
        <f>VLOOKUP($B19,Данные!$A$1:$U$1009,6,FALSE)</f>
        <v>Ш (широкая), боковая, 135*75 гр</v>
      </c>
      <c r="G19" s="79" t="str">
        <f>VLOOKUP($B19,Данные!$A$1:$U$1009,8,FALSE)</f>
        <v>Samsung COB G2</v>
      </c>
      <c r="H19" s="79" t="str">
        <f>VLOOKUP($B19,Данные!$A$1:$U$1009,12,FALSE)</f>
        <v>Экструдированный алюминиевый профиль (анодированный), боросиликатная оптика с  силиконовой прокладкой</v>
      </c>
      <c r="I19" s="79" t="str">
        <f>VLOOKUP($B19,Данные!$A$1:$U$1009,4,FALSE)</f>
        <v>176-264В AС</v>
      </c>
      <c r="J19" s="79">
        <f>VLOOKUP($B19,Данные!$A$1:$U$1009,5,FALSE)</f>
        <v>0.95</v>
      </c>
      <c r="K19" s="79" t="str">
        <f>VLOOKUP($B19,Данные!$A$1:$U$1009,13,FALSE)</f>
        <v xml:space="preserve"> -60°...+50° С</v>
      </c>
      <c r="L19" s="79" t="str">
        <f>VLOOKUP($B19,Данные!$A$1:$U$1009,14,FALSE)</f>
        <v>60 000 ч</v>
      </c>
      <c r="M19" s="79" t="str">
        <f>VLOOKUP($B19,Данные!$A$1:$U$1009,10,FALSE)</f>
        <v>274х137х166</v>
      </c>
      <c r="N19" s="79">
        <f>VLOOKUP($B19,Данные!$A$1:$U$1009,11,FALSE)</f>
        <v>0</v>
      </c>
      <c r="O19" s="28" t="str">
        <f>VLOOKUP($B19,Данные!$A$1:$U$1009,9,FALSE)</f>
        <v>-</v>
      </c>
      <c r="P19" s="25">
        <f>VLOOKUP($B19,Данные!$A$1:$U$1009,2,FALSE)</f>
        <v>60</v>
      </c>
      <c r="Q19" s="26">
        <f>VLOOKUP($B19,Данные!$A$1:$U$1009,3,FALSE)</f>
        <v>9600</v>
      </c>
      <c r="R19" s="114">
        <f t="shared" si="0"/>
        <v>160</v>
      </c>
      <c r="S19" s="38" t="str">
        <f>VLOOKUP($B19,Данные!$A$1:$U$1009,15,FALSE)</f>
        <v>5000К</v>
      </c>
      <c r="T19" s="38">
        <f>VLOOKUP($B19,Данные!$A$1:$U$1009,7,FALSE)</f>
        <v>67</v>
      </c>
      <c r="U19" s="110" t="str">
        <f>VLOOKUP($B19,Данные!$A$1:$U$1009,16,FALSE)</f>
        <v>5 лет</v>
      </c>
      <c r="V19" s="408">
        <v>4850</v>
      </c>
    </row>
    <row r="20" spans="1:22" ht="99.9" customHeight="1">
      <c r="A20" s="387"/>
      <c r="B20" s="19" t="s">
        <v>226</v>
      </c>
      <c r="C20" s="193">
        <f>VLOOKUP(B20,Данные!A17:Z374,26,FALSE)</f>
        <v>5009</v>
      </c>
      <c r="D20" s="342" t="s">
        <v>32</v>
      </c>
      <c r="E20" s="389" t="str">
        <f>CONCATENATE(CONCATENATE($F$3,": ",$F20,CHAR(10),$G$3,": ",$G20,CHAR(10),$H$3,": ",$H20,CHAR(10),$I$3,": ",$I20,CHAR(10),$J$3,": ",$J20,CHAR(10),$K$3,": ",$K20,CHAR(10),$L$3,": ",$L20,CHAR(10)))</f>
        <v xml:space="preserve">КСС: Г (глубокая), 60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20" s="78" t="str">
        <f>VLOOKUP($B20,Данные!$A$1:$U$1009,6,FALSE)</f>
        <v>Г (глубокая), 60 гр</v>
      </c>
      <c r="G20" s="78" t="str">
        <f>VLOOKUP($B20,Данные!$A$1:$U$1009,8,FALSE)</f>
        <v>Samsung COB G2</v>
      </c>
      <c r="H20" s="78" t="str">
        <f>VLOOKUP($B20,Данные!$A$1:$U$1009,12,FALSE)</f>
        <v>Экструдированный алюминиевый профиль (анодированный), боросиликатная оптика с  силиконовой прокладкой</v>
      </c>
      <c r="I20" s="78" t="str">
        <f>VLOOKUP($B20,Данные!$A$1:$U$1009,4,FALSE)</f>
        <v>176-264В AС</v>
      </c>
      <c r="J20" s="78">
        <f>VLOOKUP($B20,Данные!$A$1:$U$1009,5,FALSE)</f>
        <v>0.95</v>
      </c>
      <c r="K20" s="78" t="str">
        <f>VLOOKUP($B20,Данные!$A$1:$U$1009,13,FALSE)</f>
        <v xml:space="preserve"> -60°...+50° С</v>
      </c>
      <c r="L20" s="78" t="str">
        <f>VLOOKUP($B20,Данные!$A$1:$U$1009,14,FALSE)</f>
        <v>60 000 ч</v>
      </c>
      <c r="M20" s="78" t="str">
        <f>VLOOKUP($B20,Данные!$A$1:$U$1009,10,FALSE)</f>
        <v>200х302х198</v>
      </c>
      <c r="N20" s="78">
        <f>VLOOKUP($B20,Данные!$A$1:$U$1009,11,FALSE)</f>
        <v>0</v>
      </c>
      <c r="O20" s="24" t="str">
        <f>VLOOKUP($B20,Данные!$A$1:$U$1009,9,FALSE)</f>
        <v>-</v>
      </c>
      <c r="P20" s="21">
        <f>VLOOKUP($B20,Данные!$A$1:$U$1009,2,FALSE)</f>
        <v>80</v>
      </c>
      <c r="Q20" s="22">
        <f>VLOOKUP($B20,Данные!$A$1:$U$1009,3,FALSE)</f>
        <v>14000</v>
      </c>
      <c r="R20" s="113">
        <f t="shared" si="0"/>
        <v>175</v>
      </c>
      <c r="S20" s="37" t="str">
        <f>VLOOKUP($B20,Данные!$A$1:$U$1009,15,FALSE)</f>
        <v>5000К</v>
      </c>
      <c r="T20" s="37">
        <f>VLOOKUP($B20,Данные!$A$1:$U$1009,7,FALSE)</f>
        <v>67</v>
      </c>
      <c r="U20" s="108" t="str">
        <f>VLOOKUP($B20,Данные!$A$1:$U$1009,16,FALSE)</f>
        <v>5 лет</v>
      </c>
      <c r="V20" s="406">
        <v>9705</v>
      </c>
    </row>
    <row r="21" spans="1:22" ht="99.9" customHeight="1" thickBot="1">
      <c r="A21" s="388"/>
      <c r="B21" s="20" t="s">
        <v>227</v>
      </c>
      <c r="C21" s="194">
        <f>VLOOKUP(B21,Данные!A18:Z375,26,FALSE)</f>
        <v>5010</v>
      </c>
      <c r="D21" s="343"/>
      <c r="E21" s="390"/>
      <c r="F21" s="79" t="str">
        <f>VLOOKUP($B21,Данные!$A$1:$U$1009,6,FALSE)</f>
        <v>Г (глубокая), 60 гр</v>
      </c>
      <c r="G21" s="79" t="str">
        <f>VLOOKUP($B21,Данные!$A$1:$U$1009,8,FALSE)</f>
        <v>Samsung COB G2</v>
      </c>
      <c r="H21" s="79" t="str">
        <f>VLOOKUP($B21,Данные!$A$1:$U$1009,12,FALSE)</f>
        <v>Экструдированный алюминиевый профиль (анодированный), боросиликатная оптика с  силиконовой прокладкой</v>
      </c>
      <c r="I21" s="79" t="str">
        <f>VLOOKUP($B21,Данные!$A$1:$U$1009,4,FALSE)</f>
        <v>176-264В AС</v>
      </c>
      <c r="J21" s="79">
        <f>VLOOKUP($B21,Данные!$A$1:$U$1009,5,FALSE)</f>
        <v>0.95</v>
      </c>
      <c r="K21" s="79" t="str">
        <f>VLOOKUP($B21,Данные!$A$1:$U$1009,13,FALSE)</f>
        <v xml:space="preserve"> -60°...+50° С</v>
      </c>
      <c r="L21" s="79" t="str">
        <f>VLOOKUP($B21,Данные!$A$1:$U$1009,14,FALSE)</f>
        <v>60 000 ч</v>
      </c>
      <c r="M21" s="79" t="str">
        <f>VLOOKUP($B21,Данные!$A$1:$U$1009,10,FALSE)</f>
        <v>250х302х198</v>
      </c>
      <c r="N21" s="79">
        <f>VLOOKUP($B21,Данные!$A$1:$U$1009,11,FALSE)</f>
        <v>0</v>
      </c>
      <c r="O21" s="28" t="str">
        <f>VLOOKUP($B21,Данные!$A$1:$U$1009,9,FALSE)</f>
        <v>-</v>
      </c>
      <c r="P21" s="25">
        <f>VLOOKUP($B21,Данные!$A$1:$U$1009,2,FALSE)</f>
        <v>120</v>
      </c>
      <c r="Q21" s="26">
        <f>VLOOKUP($B21,Данные!$A$1:$U$1009,3,FALSE)</f>
        <v>19200</v>
      </c>
      <c r="R21" s="114">
        <f t="shared" si="0"/>
        <v>160</v>
      </c>
      <c r="S21" s="38" t="str">
        <f>VLOOKUP($B21,Данные!$A$1:$U$1009,15,FALSE)</f>
        <v>5000К</v>
      </c>
      <c r="T21" s="38">
        <f>VLOOKUP($B21,Данные!$A$1:$U$1009,7,FALSE)</f>
        <v>67</v>
      </c>
      <c r="U21" s="110" t="str">
        <f>VLOOKUP($B21,Данные!$A$1:$U$1009,16,FALSE)</f>
        <v>5 лет</v>
      </c>
      <c r="V21" s="408">
        <v>9705</v>
      </c>
    </row>
    <row r="22" spans="1:22" ht="99.9" customHeight="1">
      <c r="A22" s="387"/>
      <c r="B22" s="19" t="s">
        <v>228</v>
      </c>
      <c r="C22" s="193">
        <f>VLOOKUP(B22,Данные!A19:Z376,26,FALSE)</f>
        <v>5011</v>
      </c>
      <c r="D22" s="342" t="s">
        <v>32</v>
      </c>
      <c r="E22" s="389" t="str">
        <f t="shared" ref="E22" si="8">CONCATENATE(CONCATENATE($F$3,": ",$F22,CHAR(10),$G$3,": ",$G22,CHAR(10),$H$3,": ",$H22,CHAR(10),$I$3,": ",$I22,CHAR(10),$J$3,": ",$J22,CHAR(10),$K$3,": ",$K22,CHAR(10),$L$3,": ",$L22,CHAR(10)))</f>
        <v xml:space="preserve">КСС: Л (полуширокая), 90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22" s="78" t="str">
        <f>VLOOKUP($B22,Данные!$A$1:$U$1009,6,FALSE)</f>
        <v>Л (полуширокая), 90 гр</v>
      </c>
      <c r="G22" s="78" t="str">
        <f>VLOOKUP($B22,Данные!$A$1:$U$1009,8,FALSE)</f>
        <v>Samsung COB G2</v>
      </c>
      <c r="H22" s="78" t="str">
        <f>VLOOKUP($B22,Данные!$A$1:$U$1009,12,FALSE)</f>
        <v>Экструдированный алюминиевый профиль (анодированный), боросиликатная оптика с  силиконовой прокладкой</v>
      </c>
      <c r="I22" s="78" t="str">
        <f>VLOOKUP($B22,Данные!$A$1:$U$1009,4,FALSE)</f>
        <v>176-264В AС</v>
      </c>
      <c r="J22" s="78">
        <f>VLOOKUP($B22,Данные!$A$1:$U$1009,5,FALSE)</f>
        <v>0.95</v>
      </c>
      <c r="K22" s="78" t="str">
        <f>VLOOKUP($B22,Данные!$A$1:$U$1009,13,FALSE)</f>
        <v xml:space="preserve"> -60°...+50° С</v>
      </c>
      <c r="L22" s="78" t="str">
        <f>VLOOKUP($B22,Данные!$A$1:$U$1009,14,FALSE)</f>
        <v>60 000 ч</v>
      </c>
      <c r="M22" s="78" t="str">
        <f>VLOOKUP($B22,Данные!$A$1:$U$1009,10,FALSE)</f>
        <v>200х302х198</v>
      </c>
      <c r="N22" s="78">
        <f>VLOOKUP($B22,Данные!$A$1:$U$1009,11,FALSE)</f>
        <v>0</v>
      </c>
      <c r="O22" s="24" t="str">
        <f>VLOOKUP($B22,Данные!$A$1:$U$1009,9,FALSE)</f>
        <v>-</v>
      </c>
      <c r="P22" s="21">
        <f>VLOOKUP($B22,Данные!$A$1:$U$1009,2,FALSE)</f>
        <v>80</v>
      </c>
      <c r="Q22" s="22">
        <f>VLOOKUP($B22,Данные!$A$1:$U$1009,3,FALSE)</f>
        <v>14000</v>
      </c>
      <c r="R22" s="113">
        <f t="shared" si="0"/>
        <v>175</v>
      </c>
      <c r="S22" s="37" t="str">
        <f>VLOOKUP($B22,Данные!$A$1:$U$1009,15,FALSE)</f>
        <v>5000К</v>
      </c>
      <c r="T22" s="37">
        <f>VLOOKUP($B22,Данные!$A$1:$U$1009,7,FALSE)</f>
        <v>67</v>
      </c>
      <c r="U22" s="108" t="str">
        <f>VLOOKUP($B22,Данные!$A$1:$U$1009,16,FALSE)</f>
        <v>5 лет</v>
      </c>
      <c r="V22" s="406">
        <v>9705</v>
      </c>
    </row>
    <row r="23" spans="1:22" ht="99.9" customHeight="1" thickBot="1">
      <c r="A23" s="388"/>
      <c r="B23" s="20" t="s">
        <v>229</v>
      </c>
      <c r="C23" s="194">
        <f>VLOOKUP(B23,Данные!A20:Z377,26,FALSE)</f>
        <v>5012</v>
      </c>
      <c r="D23" s="343"/>
      <c r="E23" s="390"/>
      <c r="F23" s="79" t="str">
        <f>VLOOKUP($B23,Данные!$A$1:$U$1009,6,FALSE)</f>
        <v>Л (полуширокая), 90 гр</v>
      </c>
      <c r="G23" s="79" t="str">
        <f>VLOOKUP($B23,Данные!$A$1:$U$1009,8,FALSE)</f>
        <v>Samsung COB G2</v>
      </c>
      <c r="H23" s="79" t="str">
        <f>VLOOKUP($B23,Данные!$A$1:$U$1009,12,FALSE)</f>
        <v>Экструдированный алюминиевый профиль (анодированный), боросиликатная оптика с  силиконовой прокладкой</v>
      </c>
      <c r="I23" s="79" t="str">
        <f>VLOOKUP($B23,Данные!$A$1:$U$1009,4,FALSE)</f>
        <v>176-264В AС</v>
      </c>
      <c r="J23" s="79">
        <f>VLOOKUP($B23,Данные!$A$1:$U$1009,5,FALSE)</f>
        <v>0.95</v>
      </c>
      <c r="K23" s="79" t="str">
        <f>VLOOKUP($B23,Данные!$A$1:$U$1009,13,FALSE)</f>
        <v xml:space="preserve"> -60°...+50° С</v>
      </c>
      <c r="L23" s="79" t="str">
        <f>VLOOKUP($B23,Данные!$A$1:$U$1009,14,FALSE)</f>
        <v>60 000 ч</v>
      </c>
      <c r="M23" s="79" t="str">
        <f>VLOOKUP($B23,Данные!$A$1:$U$1009,10,FALSE)</f>
        <v>250х302х198</v>
      </c>
      <c r="N23" s="79">
        <f>VLOOKUP($B23,Данные!$A$1:$U$1009,11,FALSE)</f>
        <v>0</v>
      </c>
      <c r="O23" s="28" t="str">
        <f>VLOOKUP($B23,Данные!$A$1:$U$1009,9,FALSE)</f>
        <v>-</v>
      </c>
      <c r="P23" s="25">
        <f>VLOOKUP($B23,Данные!$A$1:$U$1009,2,FALSE)</f>
        <v>120</v>
      </c>
      <c r="Q23" s="26">
        <f>VLOOKUP($B23,Данные!$A$1:$U$1009,3,FALSE)</f>
        <v>19200</v>
      </c>
      <c r="R23" s="114">
        <f t="shared" si="0"/>
        <v>160</v>
      </c>
      <c r="S23" s="38" t="str">
        <f>VLOOKUP($B23,Данные!$A$1:$U$1009,15,FALSE)</f>
        <v>5000К</v>
      </c>
      <c r="T23" s="38">
        <f>VLOOKUP($B23,Данные!$A$1:$U$1009,7,FALSE)</f>
        <v>67</v>
      </c>
      <c r="U23" s="110" t="str">
        <f>VLOOKUP($B23,Данные!$A$1:$U$1009,16,FALSE)</f>
        <v>5 лет</v>
      </c>
      <c r="V23" s="408">
        <v>9705</v>
      </c>
    </row>
    <row r="24" spans="1:22" ht="99.9" customHeight="1">
      <c r="A24" s="387"/>
      <c r="B24" s="19" t="s">
        <v>230</v>
      </c>
      <c r="C24" s="193">
        <f>VLOOKUP(B24,Данные!A21:Z378,26,FALSE)</f>
        <v>5013</v>
      </c>
      <c r="D24" s="342" t="s">
        <v>32</v>
      </c>
      <c r="E24" s="389" t="str">
        <f t="shared" ref="E24" si="9">CONCATENATE(CONCATENATE($F$3,": ",$F24,CHAR(10),$G$3,": ",$G24,CHAR(10),$H$3,": ",$H24,CHAR(10),$I$3,": ",$I24,CHAR(10),$J$3,": ",$J24,CHAR(10),$K$3,": ",$K24,CHAR(10),$L$3,": ",$L24,CHAR(10)))</f>
        <v xml:space="preserve">КСС: Ш (широкая), 120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24" s="78" t="str">
        <f>VLOOKUP($B24,Данные!$A$1:$U$1009,6,FALSE)</f>
        <v>Ш (широкая), 120 гр</v>
      </c>
      <c r="G24" s="78" t="str">
        <f>VLOOKUP($B24,Данные!$A$1:$U$1009,8,FALSE)</f>
        <v>Samsung COB G2</v>
      </c>
      <c r="H24" s="78" t="str">
        <f>VLOOKUP($B24,Данные!$A$1:$U$1009,12,FALSE)</f>
        <v>Экструдированный алюминиевый профиль (анодированный), боросиликатная оптика с  силиконовой прокладкой</v>
      </c>
      <c r="I24" s="78" t="str">
        <f>VLOOKUP($B24,Данные!$A$1:$U$1009,4,FALSE)</f>
        <v>176-264В AС</v>
      </c>
      <c r="J24" s="78">
        <f>VLOOKUP($B24,Данные!$A$1:$U$1009,5,FALSE)</f>
        <v>0.95</v>
      </c>
      <c r="K24" s="78" t="str">
        <f>VLOOKUP($B24,Данные!$A$1:$U$1009,13,FALSE)</f>
        <v xml:space="preserve"> -60°...+50° С</v>
      </c>
      <c r="L24" s="78" t="str">
        <f>VLOOKUP($B24,Данные!$A$1:$U$1009,14,FALSE)</f>
        <v>60 000 ч</v>
      </c>
      <c r="M24" s="78" t="str">
        <f>VLOOKUP($B24,Данные!$A$1:$U$1009,10,FALSE)</f>
        <v>200х302х198</v>
      </c>
      <c r="N24" s="78">
        <f>VLOOKUP($B24,Данные!$A$1:$U$1009,11,FALSE)</f>
        <v>0</v>
      </c>
      <c r="O24" s="24" t="str">
        <f>VLOOKUP($B24,Данные!$A$1:$U$1009,9,FALSE)</f>
        <v>-</v>
      </c>
      <c r="P24" s="21">
        <f>VLOOKUP($B24,Данные!$A$1:$U$1009,2,FALSE)</f>
        <v>80</v>
      </c>
      <c r="Q24" s="22">
        <f>VLOOKUP($B24,Данные!$A$1:$U$1009,3,FALSE)</f>
        <v>14000</v>
      </c>
      <c r="R24" s="113">
        <f t="shared" si="0"/>
        <v>175</v>
      </c>
      <c r="S24" s="37" t="str">
        <f>VLOOKUP($B24,Данные!$A$1:$U$1009,15,FALSE)</f>
        <v>5000К</v>
      </c>
      <c r="T24" s="37">
        <f>VLOOKUP($B24,Данные!$A$1:$U$1009,7,FALSE)</f>
        <v>67</v>
      </c>
      <c r="U24" s="108" t="str">
        <f>VLOOKUP($B24,Данные!$A$1:$U$1009,16,FALSE)</f>
        <v>5 лет</v>
      </c>
      <c r="V24" s="406">
        <v>9705</v>
      </c>
    </row>
    <row r="25" spans="1:22" ht="99.9" customHeight="1" thickBot="1">
      <c r="A25" s="388"/>
      <c r="B25" s="20" t="s">
        <v>231</v>
      </c>
      <c r="C25" s="194">
        <f>VLOOKUP(B25,Данные!A22:Z379,26,FALSE)</f>
        <v>5014</v>
      </c>
      <c r="D25" s="343"/>
      <c r="E25" s="390"/>
      <c r="F25" s="79" t="str">
        <f>VLOOKUP($B25,Данные!$A$1:$U$1009,6,FALSE)</f>
        <v>Ш (широкая), 120 гр</v>
      </c>
      <c r="G25" s="79" t="str">
        <f>VLOOKUP($B25,Данные!$A$1:$U$1009,8,FALSE)</f>
        <v>Samsung COB G2</v>
      </c>
      <c r="H25" s="79" t="str">
        <f>VLOOKUP($B25,Данные!$A$1:$U$1009,12,FALSE)</f>
        <v>Экструдированный алюминиевый профиль (анодированный), боросиликатная оптика с  силиконовой прокладкой</v>
      </c>
      <c r="I25" s="79" t="str">
        <f>VLOOKUP($B25,Данные!$A$1:$U$1009,4,FALSE)</f>
        <v>176-264В AС</v>
      </c>
      <c r="J25" s="79">
        <f>VLOOKUP($B25,Данные!$A$1:$U$1009,5,FALSE)</f>
        <v>0.95</v>
      </c>
      <c r="K25" s="79" t="str">
        <f>VLOOKUP($B25,Данные!$A$1:$U$1009,13,FALSE)</f>
        <v xml:space="preserve"> -60°...+50° С</v>
      </c>
      <c r="L25" s="79" t="str">
        <f>VLOOKUP($B25,Данные!$A$1:$U$1009,14,FALSE)</f>
        <v>60 000 ч</v>
      </c>
      <c r="M25" s="79" t="str">
        <f>VLOOKUP($B25,Данные!$A$1:$U$1009,10,FALSE)</f>
        <v>250х302х198</v>
      </c>
      <c r="N25" s="79">
        <f>VLOOKUP($B25,Данные!$A$1:$U$1009,11,FALSE)</f>
        <v>0</v>
      </c>
      <c r="O25" s="28" t="str">
        <f>VLOOKUP($B25,Данные!$A$1:$U$1009,9,FALSE)</f>
        <v>-</v>
      </c>
      <c r="P25" s="25">
        <f>VLOOKUP($B25,Данные!$A$1:$U$1009,2,FALSE)</f>
        <v>120</v>
      </c>
      <c r="Q25" s="26">
        <f>VLOOKUP($B25,Данные!$A$1:$U$1009,3,FALSE)</f>
        <v>19200</v>
      </c>
      <c r="R25" s="114">
        <f t="shared" si="0"/>
        <v>160</v>
      </c>
      <c r="S25" s="38" t="str">
        <f>VLOOKUP($B25,Данные!$A$1:$U$1009,15,FALSE)</f>
        <v>5000К</v>
      </c>
      <c r="T25" s="38">
        <f>VLOOKUP($B25,Данные!$A$1:$U$1009,7,FALSE)</f>
        <v>67</v>
      </c>
      <c r="U25" s="110" t="str">
        <f>VLOOKUP($B25,Данные!$A$1:$U$1009,16,FALSE)</f>
        <v>5 лет</v>
      </c>
      <c r="V25" s="408">
        <v>9705</v>
      </c>
    </row>
    <row r="26" spans="1:22" ht="99.9" customHeight="1">
      <c r="A26" s="387"/>
      <c r="B26" s="95" t="s">
        <v>232</v>
      </c>
      <c r="C26" s="195">
        <f>VLOOKUP(B26,Данные!A23:Z380,26,FALSE)</f>
        <v>5015</v>
      </c>
      <c r="D26" s="342" t="s">
        <v>32</v>
      </c>
      <c r="E26" s="389" t="str">
        <f t="shared" ref="E26" si="10">CONCATENATE(CONCATENATE($F$3,": ",$F26,CHAR(10),$G$3,": ",$G26,CHAR(10),$H$3,": ",$H26,CHAR(10),$I$3,": ",$I26,CHAR(10),$J$3,": ",$J26,CHAR(10),$K$3,": ",$K26,CHAR(10),$L$3,": ",$L26,CHAR(10)))</f>
        <v xml:space="preserve">КСС: Ш (широкая), боковая, 135*75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26" s="78" t="str">
        <f>VLOOKUP($B26,Данные!$A$1:$U$1009,6,FALSE)</f>
        <v>Ш (широкая), боковая, 135*75 гр</v>
      </c>
      <c r="G26" s="78" t="str">
        <f>VLOOKUP($B26,Данные!$A$1:$U$1009,8,FALSE)</f>
        <v>Samsung COB G2</v>
      </c>
      <c r="H26" s="78" t="str">
        <f>VLOOKUP($B26,Данные!$A$1:$U$1009,12,FALSE)</f>
        <v>Экструдированный алюминиевый профиль (анодированный), боросиликатная оптика с  силиконовой прокладкой</v>
      </c>
      <c r="I26" s="78" t="str">
        <f>VLOOKUP($B26,Данные!$A$1:$U$1009,4,FALSE)</f>
        <v>176-264В AС</v>
      </c>
      <c r="J26" s="78">
        <f>VLOOKUP($B26,Данные!$A$1:$U$1009,5,FALSE)</f>
        <v>0.95</v>
      </c>
      <c r="K26" s="78" t="str">
        <f>VLOOKUP($B26,Данные!$A$1:$U$1009,13,FALSE)</f>
        <v xml:space="preserve"> -60°...+50° С</v>
      </c>
      <c r="L26" s="78" t="str">
        <f>VLOOKUP($B26,Данные!$A$1:$U$1009,14,FALSE)</f>
        <v>60 000 ч</v>
      </c>
      <c r="M26" s="78" t="str">
        <f>VLOOKUP($B26,Данные!$A$1:$U$1009,10,FALSE)</f>
        <v>200х302х191</v>
      </c>
      <c r="N26" s="78">
        <f>VLOOKUP($B26,Данные!$A$1:$U$1009,11,FALSE)</f>
        <v>0</v>
      </c>
      <c r="O26" s="24" t="str">
        <f>VLOOKUP($B26,Данные!$A$1:$U$1009,9,FALSE)</f>
        <v>-</v>
      </c>
      <c r="P26" s="21">
        <f>VLOOKUP($B26,Данные!$A$1:$U$1009,2,FALSE)</f>
        <v>80</v>
      </c>
      <c r="Q26" s="22">
        <f>VLOOKUP($B26,Данные!$A$1:$U$1009,3,FALSE)</f>
        <v>14000</v>
      </c>
      <c r="R26" s="113">
        <f t="shared" si="0"/>
        <v>175</v>
      </c>
      <c r="S26" s="37" t="str">
        <f>VLOOKUP($B26,Данные!$A$1:$U$1009,15,FALSE)</f>
        <v>5000К</v>
      </c>
      <c r="T26" s="37">
        <f>VLOOKUP($B26,Данные!$A$1:$U$1009,7,FALSE)</f>
        <v>67</v>
      </c>
      <c r="U26" s="108" t="str">
        <f>VLOOKUP($B26,Данные!$A$1:$U$1009,16,FALSE)</f>
        <v>5 лет</v>
      </c>
      <c r="V26" s="406">
        <v>9705</v>
      </c>
    </row>
    <row r="27" spans="1:22" ht="99.9" customHeight="1" thickBot="1">
      <c r="A27" s="388"/>
      <c r="B27" s="112" t="s">
        <v>233</v>
      </c>
      <c r="C27" s="197">
        <f>VLOOKUP(B27,Данные!A24:Z381,26,FALSE)</f>
        <v>5016</v>
      </c>
      <c r="D27" s="343"/>
      <c r="E27" s="390"/>
      <c r="F27" s="79" t="str">
        <f>VLOOKUP($B27,Данные!$A$1:$U$1009,6,FALSE)</f>
        <v>Ш (широкая), боковая, 135*75 гр</v>
      </c>
      <c r="G27" s="79" t="str">
        <f>VLOOKUP($B27,Данные!$A$1:$U$1009,8,FALSE)</f>
        <v>Samsung COB G2</v>
      </c>
      <c r="H27" s="79" t="str">
        <f>VLOOKUP($B27,Данные!$A$1:$U$1009,12,FALSE)</f>
        <v>Экструдированный алюминиевый профиль (анодированный), боросиликатная оптика с  силиконовой прокладкой</v>
      </c>
      <c r="I27" s="79" t="str">
        <f>VLOOKUP($B27,Данные!$A$1:$U$1009,4,FALSE)</f>
        <v>176-264В AС</v>
      </c>
      <c r="J27" s="79">
        <f>VLOOKUP($B27,Данные!$A$1:$U$1009,5,FALSE)</f>
        <v>0.95</v>
      </c>
      <c r="K27" s="79" t="str">
        <f>VLOOKUP($B27,Данные!$A$1:$U$1009,13,FALSE)</f>
        <v xml:space="preserve"> -60°...+50° С</v>
      </c>
      <c r="L27" s="79" t="str">
        <f>VLOOKUP($B27,Данные!$A$1:$U$1009,14,FALSE)</f>
        <v>60 000 ч</v>
      </c>
      <c r="M27" s="79" t="str">
        <f>VLOOKUP($B27,Данные!$A$1:$U$1009,10,FALSE)</f>
        <v>274х302х191</v>
      </c>
      <c r="N27" s="79">
        <f>VLOOKUP($B27,Данные!$A$1:$U$1009,11,FALSE)</f>
        <v>0</v>
      </c>
      <c r="O27" s="28" t="str">
        <f>VLOOKUP($B27,Данные!$A$1:$U$1009,9,FALSE)</f>
        <v>-</v>
      </c>
      <c r="P27" s="25">
        <f>VLOOKUP($B27,Данные!$A$1:$U$1009,2,FALSE)</f>
        <v>120</v>
      </c>
      <c r="Q27" s="26">
        <f>VLOOKUP($B27,Данные!$A$1:$U$1009,3,FALSE)</f>
        <v>19200</v>
      </c>
      <c r="R27" s="114">
        <f t="shared" si="0"/>
        <v>160</v>
      </c>
      <c r="S27" s="38" t="str">
        <f>VLOOKUP($B27,Данные!$A$1:$U$1009,15,FALSE)</f>
        <v>5000К</v>
      </c>
      <c r="T27" s="38">
        <f>VLOOKUP($B27,Данные!$A$1:$U$1009,7,FALSE)</f>
        <v>67</v>
      </c>
      <c r="U27" s="110" t="str">
        <f>VLOOKUP($B27,Данные!$A$1:$U$1009,16,FALSE)</f>
        <v>5 лет</v>
      </c>
      <c r="V27" s="408">
        <v>9705</v>
      </c>
    </row>
    <row r="28" spans="1:22" ht="99.9" customHeight="1">
      <c r="A28" s="387"/>
      <c r="B28" s="19" t="s">
        <v>250</v>
      </c>
      <c r="C28" s="193">
        <f>VLOOKUP(B28,Данные!A25:Z382,26,FALSE)</f>
        <v>5033</v>
      </c>
      <c r="D28" s="342" t="s">
        <v>32</v>
      </c>
      <c r="E28" s="389" t="str">
        <f t="shared" ref="E28" si="11">CONCATENATE(CONCATENATE($F$3,": ",$F28,CHAR(10),$G$3,": ",$G28,CHAR(10),$H$3,": ",$H28,CHAR(10),$I$3,": ",$I28,CHAR(10),$J$3,": ",$J28,CHAR(10),$K$3,": ",$K28,CHAR(10),$L$3,": ",$L28,CHAR(10)))</f>
        <v xml:space="preserve">КСС: Г (глубокая), 60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28" s="78" t="str">
        <f>VLOOKUP($B28,Данные!$A$1:$U$1009,6,FALSE)</f>
        <v>Г (глубокая), 60 гр</v>
      </c>
      <c r="G28" s="78" t="str">
        <f>VLOOKUP($B28,Данные!$A$1:$U$1009,8,FALSE)</f>
        <v>Samsung COB G2</v>
      </c>
      <c r="H28" s="78" t="str">
        <f>VLOOKUP($B28,Данные!$A$1:$U$1009,12,FALSE)</f>
        <v>Экструдированный алюминиевый профиль (анодированный), боросиликатная оптика с  силиконовой прокладкой</v>
      </c>
      <c r="I28" s="78" t="str">
        <f>VLOOKUP($B28,Данные!$A$1:$U$1009,4,FALSE)</f>
        <v>176-264В AС</v>
      </c>
      <c r="J28" s="78">
        <f>VLOOKUP($B28,Данные!$A$1:$U$1009,5,FALSE)</f>
        <v>0.95</v>
      </c>
      <c r="K28" s="78" t="str">
        <f>VLOOKUP($B28,Данные!$A$1:$U$1009,13,FALSE)</f>
        <v xml:space="preserve"> -60°...+50° С</v>
      </c>
      <c r="L28" s="78" t="str">
        <f>VLOOKUP($B28,Данные!$A$1:$U$1009,14,FALSE)</f>
        <v>60 000 ч</v>
      </c>
      <c r="M28" s="78" t="str">
        <f>VLOOKUP($B28,Данные!$A$1:$U$1009,10,FALSE)</f>
        <v>200х299х128</v>
      </c>
      <c r="N28" s="78">
        <f>VLOOKUP($B28,Данные!$A$1:$U$1009,11,FALSE)</f>
        <v>0</v>
      </c>
      <c r="O28" s="24" t="str">
        <f>VLOOKUP($B28,Данные!$A$1:$U$1009,9,FALSE)</f>
        <v>-</v>
      </c>
      <c r="P28" s="21">
        <f>VLOOKUP($B28,Данные!$A$1:$U$1009,2,FALSE)</f>
        <v>80</v>
      </c>
      <c r="Q28" s="22">
        <f>VLOOKUP($B28,Данные!$A$1:$U$1009,3,FALSE)</f>
        <v>14000</v>
      </c>
      <c r="R28" s="113">
        <f t="shared" si="0"/>
        <v>175</v>
      </c>
      <c r="S28" s="37" t="str">
        <f>VLOOKUP($B28,Данные!$A$1:$U$1009,15,FALSE)</f>
        <v>5000К</v>
      </c>
      <c r="T28" s="37">
        <f>VLOOKUP($B28,Данные!$A$1:$U$1009,7,FALSE)</f>
        <v>67</v>
      </c>
      <c r="U28" s="108" t="str">
        <f>VLOOKUP($B28,Данные!$A$1:$U$1009,16,FALSE)</f>
        <v>5 лет</v>
      </c>
      <c r="V28" s="406">
        <v>9705</v>
      </c>
    </row>
    <row r="29" spans="1:22" ht="99.9" customHeight="1" thickBot="1">
      <c r="A29" s="388"/>
      <c r="B29" s="20" t="s">
        <v>251</v>
      </c>
      <c r="C29" s="194">
        <f>VLOOKUP(B29,Данные!A26:Z383,26,FALSE)</f>
        <v>5034</v>
      </c>
      <c r="D29" s="343"/>
      <c r="E29" s="390"/>
      <c r="F29" s="79" t="str">
        <f>VLOOKUP($B29,Данные!$A$1:$U$1009,6,FALSE)</f>
        <v>Г (глубокая), 60 гр</v>
      </c>
      <c r="G29" s="79" t="str">
        <f>VLOOKUP($B29,Данные!$A$1:$U$1009,8,FALSE)</f>
        <v>Samsung COB G2</v>
      </c>
      <c r="H29" s="79" t="str">
        <f>VLOOKUP($B29,Данные!$A$1:$U$1009,12,FALSE)</f>
        <v>Экструдированный алюминиевый профиль (анодированный), боросиликатная оптика с  силиконовой прокладкой</v>
      </c>
      <c r="I29" s="79" t="str">
        <f>VLOOKUP($B29,Данные!$A$1:$U$1009,4,FALSE)</f>
        <v>176-264В AС</v>
      </c>
      <c r="J29" s="79">
        <f>VLOOKUP($B29,Данные!$A$1:$U$1009,5,FALSE)</f>
        <v>0.95</v>
      </c>
      <c r="K29" s="79" t="str">
        <f>VLOOKUP($B29,Данные!$A$1:$U$1009,13,FALSE)</f>
        <v xml:space="preserve"> -60°...+50° С</v>
      </c>
      <c r="L29" s="79" t="str">
        <f>VLOOKUP($B29,Данные!$A$1:$U$1009,14,FALSE)</f>
        <v>60 000 ч</v>
      </c>
      <c r="M29" s="79" t="str">
        <f>VLOOKUP($B29,Данные!$A$1:$U$1009,10,FALSE)</f>
        <v>274х299х128</v>
      </c>
      <c r="N29" s="79">
        <f>VLOOKUP($B29,Данные!$A$1:$U$1009,11,FALSE)</f>
        <v>0</v>
      </c>
      <c r="O29" s="28" t="str">
        <f>VLOOKUP($B29,Данные!$A$1:$U$1009,9,FALSE)</f>
        <v>-</v>
      </c>
      <c r="P29" s="25">
        <f>VLOOKUP($B29,Данные!$A$1:$U$1009,2,FALSE)</f>
        <v>120</v>
      </c>
      <c r="Q29" s="26">
        <f>VLOOKUP($B29,Данные!$A$1:$U$1009,3,FALSE)</f>
        <v>19200</v>
      </c>
      <c r="R29" s="114">
        <f t="shared" si="0"/>
        <v>160</v>
      </c>
      <c r="S29" s="38" t="str">
        <f>VLOOKUP($B29,Данные!$A$1:$U$1009,15,FALSE)</f>
        <v>5000К</v>
      </c>
      <c r="T29" s="38">
        <f>VLOOKUP($B29,Данные!$A$1:$U$1009,7,FALSE)</f>
        <v>67</v>
      </c>
      <c r="U29" s="110" t="str">
        <f>VLOOKUP($B29,Данные!$A$1:$U$1009,16,FALSE)</f>
        <v>5 лет</v>
      </c>
      <c r="V29" s="408">
        <v>9705</v>
      </c>
    </row>
    <row r="30" spans="1:22" ht="99.9" customHeight="1">
      <c r="A30" s="387"/>
      <c r="B30" s="19" t="s">
        <v>252</v>
      </c>
      <c r="C30" s="193">
        <f>VLOOKUP(B30,Данные!A27:Z384,26,FALSE)</f>
        <v>5035</v>
      </c>
      <c r="D30" s="342" t="s">
        <v>32</v>
      </c>
      <c r="E30" s="389" t="str">
        <f t="shared" ref="E30" si="12">CONCATENATE(CONCATENATE($F$3,": ",$F30,CHAR(10),$G$3,": ",$G30,CHAR(10),$H$3,": ",$H30,CHAR(10),$I$3,": ",$I30,CHAR(10),$J$3,": ",$J30,CHAR(10),$K$3,": ",$K30,CHAR(10),$L$3,": ",$L30,CHAR(10)))</f>
        <v xml:space="preserve">КСС: Л (полуширокая), 90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30" s="78" t="str">
        <f>VLOOKUP($B30,Данные!$A$1:$U$1009,6,FALSE)</f>
        <v>Л (полуширокая), 90 гр</v>
      </c>
      <c r="G30" s="78" t="str">
        <f>VLOOKUP($B30,Данные!$A$1:$U$1009,8,FALSE)</f>
        <v>Samsung COB G2</v>
      </c>
      <c r="H30" s="78" t="str">
        <f>VLOOKUP($B30,Данные!$A$1:$U$1009,12,FALSE)</f>
        <v>Экструдированный алюминиевый профиль (анодированный), боросиликатная оптика с  силиконовой прокладкой</v>
      </c>
      <c r="I30" s="78" t="str">
        <f>VLOOKUP($B30,Данные!$A$1:$U$1009,4,FALSE)</f>
        <v>176-264В AС</v>
      </c>
      <c r="J30" s="78">
        <f>VLOOKUP($B30,Данные!$A$1:$U$1009,5,FALSE)</f>
        <v>0.95</v>
      </c>
      <c r="K30" s="78" t="str">
        <f>VLOOKUP($B30,Данные!$A$1:$U$1009,13,FALSE)</f>
        <v xml:space="preserve"> -60°...+50° С</v>
      </c>
      <c r="L30" s="78" t="str">
        <f>VLOOKUP($B30,Данные!$A$1:$U$1009,14,FALSE)</f>
        <v>60 000 ч</v>
      </c>
      <c r="M30" s="78" t="str">
        <f>VLOOKUP($B30,Данные!$A$1:$U$1009,10,FALSE)</f>
        <v>200х299х128</v>
      </c>
      <c r="N30" s="78">
        <f>VLOOKUP($B30,Данные!$A$1:$U$1009,11,FALSE)</f>
        <v>0</v>
      </c>
      <c r="O30" s="24" t="str">
        <f>VLOOKUP($B30,Данные!$A$1:$U$1009,9,FALSE)</f>
        <v>-</v>
      </c>
      <c r="P30" s="21">
        <f>VLOOKUP($B30,Данные!$A$1:$U$1009,2,FALSE)</f>
        <v>80</v>
      </c>
      <c r="Q30" s="22">
        <f>VLOOKUP($B30,Данные!$A$1:$U$1009,3,FALSE)</f>
        <v>14000</v>
      </c>
      <c r="R30" s="113">
        <f t="shared" si="0"/>
        <v>175</v>
      </c>
      <c r="S30" s="37" t="str">
        <f>VLOOKUP($B30,Данные!$A$1:$U$1009,15,FALSE)</f>
        <v>5000К</v>
      </c>
      <c r="T30" s="37">
        <f>VLOOKUP($B30,Данные!$A$1:$U$1009,7,FALSE)</f>
        <v>67</v>
      </c>
      <c r="U30" s="108" t="str">
        <f>VLOOKUP($B30,Данные!$A$1:$U$1009,16,FALSE)</f>
        <v>5 лет</v>
      </c>
      <c r="V30" s="406">
        <v>9705</v>
      </c>
    </row>
    <row r="31" spans="1:22" ht="99.9" customHeight="1" thickBot="1">
      <c r="A31" s="388"/>
      <c r="B31" s="20" t="s">
        <v>253</v>
      </c>
      <c r="C31" s="194">
        <f>VLOOKUP(B31,Данные!A28:Z385,26,FALSE)</f>
        <v>5036</v>
      </c>
      <c r="D31" s="343"/>
      <c r="E31" s="390"/>
      <c r="F31" s="79" t="str">
        <f>VLOOKUP($B31,Данные!$A$1:$U$1009,6,FALSE)</f>
        <v>Л (полуширокая), 90 гр</v>
      </c>
      <c r="G31" s="79" t="str">
        <f>VLOOKUP($B31,Данные!$A$1:$U$1009,8,FALSE)</f>
        <v>Samsung COB G2</v>
      </c>
      <c r="H31" s="79" t="str">
        <f>VLOOKUP($B31,Данные!$A$1:$U$1009,12,FALSE)</f>
        <v>Экструдированный алюминиевый профиль (анодированный), боросиликатная оптика с  силиконовой прокладкой</v>
      </c>
      <c r="I31" s="79" t="str">
        <f>VLOOKUP($B31,Данные!$A$1:$U$1009,4,FALSE)</f>
        <v>176-264В AС</v>
      </c>
      <c r="J31" s="79">
        <f>VLOOKUP($B31,Данные!$A$1:$U$1009,5,FALSE)</f>
        <v>0.95</v>
      </c>
      <c r="K31" s="79" t="str">
        <f>VLOOKUP($B31,Данные!$A$1:$U$1009,13,FALSE)</f>
        <v xml:space="preserve"> -60°...+50° С</v>
      </c>
      <c r="L31" s="79" t="str">
        <f>VLOOKUP($B31,Данные!$A$1:$U$1009,14,FALSE)</f>
        <v>60 000 ч</v>
      </c>
      <c r="M31" s="79" t="str">
        <f>VLOOKUP($B31,Данные!$A$1:$U$1009,10,FALSE)</f>
        <v>274х299х128</v>
      </c>
      <c r="N31" s="79">
        <f>VLOOKUP($B31,Данные!$A$1:$U$1009,11,FALSE)</f>
        <v>0</v>
      </c>
      <c r="O31" s="28" t="str">
        <f>VLOOKUP($B31,Данные!$A$1:$U$1009,9,FALSE)</f>
        <v>-</v>
      </c>
      <c r="P31" s="25">
        <f>VLOOKUP($B31,Данные!$A$1:$U$1009,2,FALSE)</f>
        <v>120</v>
      </c>
      <c r="Q31" s="26">
        <f>VLOOKUP($B31,Данные!$A$1:$U$1009,3,FALSE)</f>
        <v>19200</v>
      </c>
      <c r="R31" s="114">
        <f t="shared" si="0"/>
        <v>160</v>
      </c>
      <c r="S31" s="38" t="str">
        <f>VLOOKUP($B31,Данные!$A$1:$U$1009,15,FALSE)</f>
        <v>5000К</v>
      </c>
      <c r="T31" s="38">
        <f>VLOOKUP($B31,Данные!$A$1:$U$1009,7,FALSE)</f>
        <v>67</v>
      </c>
      <c r="U31" s="110" t="str">
        <f>VLOOKUP($B31,Данные!$A$1:$U$1009,16,FALSE)</f>
        <v>5 лет</v>
      </c>
      <c r="V31" s="408">
        <v>9705</v>
      </c>
    </row>
    <row r="32" spans="1:22" ht="99.9" customHeight="1">
      <c r="A32" s="387"/>
      <c r="B32" s="19" t="s">
        <v>254</v>
      </c>
      <c r="C32" s="193">
        <f>VLOOKUP(B32,Данные!A29:Z386,26,FALSE)</f>
        <v>5037</v>
      </c>
      <c r="D32" s="342" t="s">
        <v>32</v>
      </c>
      <c r="E32" s="389" t="str">
        <f t="shared" ref="E32" si="13">CONCATENATE(CONCATENATE($F$3,": ",$F32,CHAR(10),$G$3,": ",$G32,CHAR(10),$H$3,": ",$H32,CHAR(10),$I$3,": ",$I32,CHAR(10),$J$3,": ",$J32,CHAR(10),$K$3,": ",$K32,CHAR(10),$L$3,": ",$L32,CHAR(10)))</f>
        <v xml:space="preserve">КСС: Ш (широкая), 120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32" s="78" t="str">
        <f>VLOOKUP($B32,Данные!$A$1:$U$1009,6,FALSE)</f>
        <v>Ш (широкая), 120 гр</v>
      </c>
      <c r="G32" s="78" t="str">
        <f>VLOOKUP($B32,Данные!$A$1:$U$1009,8,FALSE)</f>
        <v>Samsung COB G2</v>
      </c>
      <c r="H32" s="78" t="str">
        <f>VLOOKUP($B32,Данные!$A$1:$U$1009,12,FALSE)</f>
        <v>Экструдированный алюминиевый профиль (анодированный), боросиликатная оптика с  силиконовой прокладкой</v>
      </c>
      <c r="I32" s="78" t="str">
        <f>VLOOKUP($B32,Данные!$A$1:$U$1009,4,FALSE)</f>
        <v>176-264В AС</v>
      </c>
      <c r="J32" s="78">
        <f>VLOOKUP($B32,Данные!$A$1:$U$1009,5,FALSE)</f>
        <v>0.95</v>
      </c>
      <c r="K32" s="78" t="str">
        <f>VLOOKUP($B32,Данные!$A$1:$U$1009,13,FALSE)</f>
        <v xml:space="preserve"> -60°...+50° С</v>
      </c>
      <c r="L32" s="78" t="str">
        <f>VLOOKUP($B32,Данные!$A$1:$U$1009,14,FALSE)</f>
        <v>60 000 ч</v>
      </c>
      <c r="M32" s="78" t="str">
        <f>VLOOKUP($B32,Данные!$A$1:$U$1009,10,FALSE)</f>
        <v>200х299х128</v>
      </c>
      <c r="N32" s="78">
        <f>VLOOKUP($B32,Данные!$A$1:$U$1009,11,FALSE)</f>
        <v>0</v>
      </c>
      <c r="O32" s="24" t="str">
        <f>VLOOKUP($B32,Данные!$A$1:$U$1009,9,FALSE)</f>
        <v>-</v>
      </c>
      <c r="P32" s="21">
        <f>VLOOKUP($B32,Данные!$A$1:$U$1009,2,FALSE)</f>
        <v>80</v>
      </c>
      <c r="Q32" s="22">
        <f>VLOOKUP($B32,Данные!$A$1:$U$1009,3,FALSE)</f>
        <v>14000</v>
      </c>
      <c r="R32" s="113">
        <f t="shared" si="0"/>
        <v>175</v>
      </c>
      <c r="S32" s="37" t="str">
        <f>VLOOKUP($B32,Данные!$A$1:$U$1009,15,FALSE)</f>
        <v>5000К</v>
      </c>
      <c r="T32" s="37">
        <f>VLOOKUP($B32,Данные!$A$1:$U$1009,7,FALSE)</f>
        <v>67</v>
      </c>
      <c r="U32" s="108" t="str">
        <f>VLOOKUP($B32,Данные!$A$1:$U$1009,16,FALSE)</f>
        <v>5 лет</v>
      </c>
      <c r="V32" s="406">
        <v>9705</v>
      </c>
    </row>
    <row r="33" spans="1:22" ht="99.9" customHeight="1" thickBot="1">
      <c r="A33" s="388"/>
      <c r="B33" s="20" t="s">
        <v>255</v>
      </c>
      <c r="C33" s="194">
        <f>VLOOKUP(B33,Данные!A30:Z387,26,FALSE)</f>
        <v>5038</v>
      </c>
      <c r="D33" s="343"/>
      <c r="E33" s="390"/>
      <c r="F33" s="79" t="str">
        <f>VLOOKUP($B33,Данные!$A$1:$U$1009,6,FALSE)</f>
        <v>Ш (широкая), 120 гр</v>
      </c>
      <c r="G33" s="79" t="str">
        <f>VLOOKUP($B33,Данные!$A$1:$U$1009,8,FALSE)</f>
        <v>Samsung COB G2</v>
      </c>
      <c r="H33" s="79" t="str">
        <f>VLOOKUP($B33,Данные!$A$1:$U$1009,12,FALSE)</f>
        <v>Экструдированный алюминиевый профиль (анодированный), боросиликатная оптика с  силиконовой прокладкой</v>
      </c>
      <c r="I33" s="79" t="str">
        <f>VLOOKUP($B33,Данные!$A$1:$U$1009,4,FALSE)</f>
        <v>176-264В AС</v>
      </c>
      <c r="J33" s="79">
        <f>VLOOKUP($B33,Данные!$A$1:$U$1009,5,FALSE)</f>
        <v>0.95</v>
      </c>
      <c r="K33" s="79" t="str">
        <f>VLOOKUP($B33,Данные!$A$1:$U$1009,13,FALSE)</f>
        <v xml:space="preserve"> -60°...+50° С</v>
      </c>
      <c r="L33" s="79" t="str">
        <f>VLOOKUP($B33,Данные!$A$1:$U$1009,14,FALSE)</f>
        <v>60 000 ч</v>
      </c>
      <c r="M33" s="79" t="str">
        <f>VLOOKUP($B33,Данные!$A$1:$U$1009,10,FALSE)</f>
        <v>274х299х128</v>
      </c>
      <c r="N33" s="79">
        <f>VLOOKUP($B33,Данные!$A$1:$U$1009,11,FALSE)</f>
        <v>0</v>
      </c>
      <c r="O33" s="28" t="str">
        <f>VLOOKUP($B33,Данные!$A$1:$U$1009,9,FALSE)</f>
        <v>-</v>
      </c>
      <c r="P33" s="25">
        <f>VLOOKUP($B33,Данные!$A$1:$U$1009,2,FALSE)</f>
        <v>120</v>
      </c>
      <c r="Q33" s="26">
        <f>VLOOKUP($B33,Данные!$A$1:$U$1009,3,FALSE)</f>
        <v>19200</v>
      </c>
      <c r="R33" s="114">
        <f t="shared" si="0"/>
        <v>160</v>
      </c>
      <c r="S33" s="38" t="str">
        <f>VLOOKUP($B33,Данные!$A$1:$U$1009,15,FALSE)</f>
        <v>5000К</v>
      </c>
      <c r="T33" s="38">
        <f>VLOOKUP($B33,Данные!$A$1:$U$1009,7,FALSE)</f>
        <v>67</v>
      </c>
      <c r="U33" s="110" t="str">
        <f>VLOOKUP($B33,Данные!$A$1:$U$1009,16,FALSE)</f>
        <v>5 лет</v>
      </c>
      <c r="V33" s="408">
        <v>9705</v>
      </c>
    </row>
    <row r="34" spans="1:22" ht="99.9" customHeight="1">
      <c r="A34" s="387"/>
      <c r="B34" s="95" t="s">
        <v>256</v>
      </c>
      <c r="C34" s="195">
        <f>VLOOKUP(B34,Данные!A31:Z388,26,FALSE)</f>
        <v>5039</v>
      </c>
      <c r="D34" s="342" t="s">
        <v>32</v>
      </c>
      <c r="E34" s="389" t="str">
        <f t="shared" ref="E34" si="14">CONCATENATE(CONCATENATE($F$3,": ",$F34,CHAR(10),$G$3,": ",$G34,CHAR(10),$H$3,": ",$H34,CHAR(10),$I$3,": ",$I34,CHAR(10),$J$3,": ",$J34,CHAR(10),$K$3,": ",$K34,CHAR(10),$L$3,": ",$L34,CHAR(10)))</f>
        <v xml:space="preserve">КСС: Ш (широкая), боковая, 135*75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34" s="78" t="str">
        <f>VLOOKUP($B34,Данные!$A$1:$U$1009,6,FALSE)</f>
        <v>Ш (широкая), боковая, 135*75 гр</v>
      </c>
      <c r="G34" s="78" t="str">
        <f>VLOOKUP($B34,Данные!$A$1:$U$1009,8,FALSE)</f>
        <v>Samsung COB G2</v>
      </c>
      <c r="H34" s="78" t="str">
        <f>VLOOKUP($B34,Данные!$A$1:$U$1009,12,FALSE)</f>
        <v>Экструдированный алюминиевый профиль (анодированный), боросиликатная оптика с  силиконовой прокладкой</v>
      </c>
      <c r="I34" s="78" t="str">
        <f>VLOOKUP($B34,Данные!$A$1:$U$1009,4,FALSE)</f>
        <v>176-264В AС</v>
      </c>
      <c r="J34" s="78">
        <f>VLOOKUP($B34,Данные!$A$1:$U$1009,5,FALSE)</f>
        <v>0.95</v>
      </c>
      <c r="K34" s="78" t="str">
        <f>VLOOKUP($B34,Данные!$A$1:$U$1009,13,FALSE)</f>
        <v xml:space="preserve"> -60°...+50° С</v>
      </c>
      <c r="L34" s="78" t="str">
        <f>VLOOKUP($B34,Данные!$A$1:$U$1009,14,FALSE)</f>
        <v>60 000 ч</v>
      </c>
      <c r="M34" s="78" t="str">
        <f>VLOOKUP($B34,Данные!$A$1:$U$1009,10,FALSE)</f>
        <v>200х299х120</v>
      </c>
      <c r="N34" s="78">
        <f>VLOOKUP($B34,Данные!$A$1:$U$1009,11,FALSE)</f>
        <v>0</v>
      </c>
      <c r="O34" s="24" t="str">
        <f>VLOOKUP($B34,Данные!$A$1:$U$1009,9,FALSE)</f>
        <v>-</v>
      </c>
      <c r="P34" s="21">
        <f>VLOOKUP($B34,Данные!$A$1:$U$1009,2,FALSE)</f>
        <v>80</v>
      </c>
      <c r="Q34" s="22">
        <f>VLOOKUP($B34,Данные!$A$1:$U$1009,3,FALSE)</f>
        <v>14000</v>
      </c>
      <c r="R34" s="113">
        <f t="shared" si="0"/>
        <v>175</v>
      </c>
      <c r="S34" s="37" t="str">
        <f>VLOOKUP($B34,Данные!$A$1:$U$1009,15,FALSE)</f>
        <v>5000К</v>
      </c>
      <c r="T34" s="37">
        <f>VLOOKUP($B34,Данные!$A$1:$U$1009,7,FALSE)</f>
        <v>67</v>
      </c>
      <c r="U34" s="108" t="str">
        <f>VLOOKUP($B34,Данные!$A$1:$U$1009,16,FALSE)</f>
        <v>5 лет</v>
      </c>
      <c r="V34" s="406">
        <v>9705</v>
      </c>
    </row>
    <row r="35" spans="1:22" ht="99.9" customHeight="1" thickBot="1">
      <c r="A35" s="388"/>
      <c r="B35" s="112" t="s">
        <v>257</v>
      </c>
      <c r="C35" s="197">
        <f>VLOOKUP(B35,Данные!A32:Z389,26,FALSE)</f>
        <v>5040</v>
      </c>
      <c r="D35" s="343"/>
      <c r="E35" s="390"/>
      <c r="F35" s="79" t="str">
        <f>VLOOKUP($B35,Данные!$A$1:$U$1009,6,FALSE)</f>
        <v>Ш (широкая), боковая, 135*75 гр</v>
      </c>
      <c r="G35" s="79" t="str">
        <f>VLOOKUP($B35,Данные!$A$1:$U$1009,8,FALSE)</f>
        <v>Samsung COB G2</v>
      </c>
      <c r="H35" s="79" t="str">
        <f>VLOOKUP($B35,Данные!$A$1:$U$1009,12,FALSE)</f>
        <v>Экструдированный алюминиевый профиль (анодированный), боросиликатная оптика с  силиконовой прокладкой</v>
      </c>
      <c r="I35" s="79" t="str">
        <f>VLOOKUP($B35,Данные!$A$1:$U$1009,4,FALSE)</f>
        <v>176-264В AС</v>
      </c>
      <c r="J35" s="79">
        <f>VLOOKUP($B35,Данные!$A$1:$U$1009,5,FALSE)</f>
        <v>0.95</v>
      </c>
      <c r="K35" s="79" t="str">
        <f>VLOOKUP($B35,Данные!$A$1:$U$1009,13,FALSE)</f>
        <v xml:space="preserve"> -60°...+50° С</v>
      </c>
      <c r="L35" s="79" t="str">
        <f>VLOOKUP($B35,Данные!$A$1:$U$1009,14,FALSE)</f>
        <v>60 000 ч</v>
      </c>
      <c r="M35" s="79" t="str">
        <f>VLOOKUP($B35,Данные!$A$1:$U$1009,10,FALSE)</f>
        <v>274х299х120</v>
      </c>
      <c r="N35" s="79">
        <f>VLOOKUP($B35,Данные!$A$1:$U$1009,11,FALSE)</f>
        <v>0</v>
      </c>
      <c r="O35" s="28" t="str">
        <f>VLOOKUP($B35,Данные!$A$1:$U$1009,9,FALSE)</f>
        <v>-</v>
      </c>
      <c r="P35" s="25">
        <f>VLOOKUP($B35,Данные!$A$1:$U$1009,2,FALSE)</f>
        <v>120</v>
      </c>
      <c r="Q35" s="26">
        <f>VLOOKUP($B35,Данные!$A$1:$U$1009,3,FALSE)</f>
        <v>19200</v>
      </c>
      <c r="R35" s="114">
        <f t="shared" si="0"/>
        <v>160</v>
      </c>
      <c r="S35" s="38" t="str">
        <f>VLOOKUP($B35,Данные!$A$1:$U$1009,15,FALSE)</f>
        <v>5000К</v>
      </c>
      <c r="T35" s="38">
        <f>VLOOKUP($B35,Данные!$A$1:$U$1009,7,FALSE)</f>
        <v>67</v>
      </c>
      <c r="U35" s="110" t="str">
        <f>VLOOKUP($B35,Данные!$A$1:$U$1009,16,FALSE)</f>
        <v>5 лет</v>
      </c>
      <c r="V35" s="408">
        <v>9705</v>
      </c>
    </row>
    <row r="36" spans="1:22" ht="99.9" customHeight="1">
      <c r="A36" s="387"/>
      <c r="B36" s="19" t="s">
        <v>234</v>
      </c>
      <c r="C36" s="193">
        <f>VLOOKUP(B36,Данные!A33:Z390,26,FALSE)</f>
        <v>5017</v>
      </c>
      <c r="D36" s="342" t="s">
        <v>32</v>
      </c>
      <c r="E36" s="389" t="str">
        <f t="shared" ref="E36" si="15">CONCATENATE(CONCATENATE($F$3,": ",$F36,CHAR(10),$G$3,": ",$G36,CHAR(10),$H$3,": ",$H36,CHAR(10),$I$3,": ",$I36,CHAR(10),$J$3,": ",$J36,CHAR(10),$K$3,": ",$K36,CHAR(10),$L$3,": ",$L36,CHAR(10)))</f>
        <v xml:space="preserve">КСС: Г (глубокая), 60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36" s="78" t="str">
        <f>VLOOKUP($B36,Данные!$A$1:$U$1009,6,FALSE)</f>
        <v>Г (глубокая), 60 гр</v>
      </c>
      <c r="G36" s="78" t="str">
        <f>VLOOKUP($B36,Данные!$A$1:$U$1009,8,FALSE)</f>
        <v>Samsung COB G2</v>
      </c>
      <c r="H36" s="78" t="str">
        <f>VLOOKUP($B36,Данные!$A$1:$U$1009,12,FALSE)</f>
        <v>Экструдированный алюминиевый профиль (анодированный), боросиликатная оптика с  силиконовой прокладкой</v>
      </c>
      <c r="I36" s="78" t="str">
        <f>VLOOKUP($B36,Данные!$A$1:$U$1009,4,FALSE)</f>
        <v>176-264В AС</v>
      </c>
      <c r="J36" s="78">
        <f>VLOOKUP($B36,Данные!$A$1:$U$1009,5,FALSE)</f>
        <v>0.95</v>
      </c>
      <c r="K36" s="78" t="str">
        <f>VLOOKUP($B36,Данные!$A$1:$U$1009,13,FALSE)</f>
        <v xml:space="preserve"> -60°...+50° С</v>
      </c>
      <c r="L36" s="78" t="str">
        <f>VLOOKUP($B36,Данные!$A$1:$U$1009,14,FALSE)</f>
        <v>60 000 ч</v>
      </c>
      <c r="M36" s="78" t="str">
        <f>VLOOKUP($B36,Данные!$A$1:$U$1009,10,FALSE)</f>
        <v>200х412х195</v>
      </c>
      <c r="N36" s="78">
        <f>VLOOKUP($B36,Данные!$A$1:$U$1009,11,FALSE)</f>
        <v>0</v>
      </c>
      <c r="O36" s="24" t="str">
        <f>VLOOKUP($B36,Данные!$A$1:$U$1009,9,FALSE)</f>
        <v>-</v>
      </c>
      <c r="P36" s="21">
        <f>VLOOKUP($B36,Данные!$A$1:$U$1009,2,FALSE)</f>
        <v>120</v>
      </c>
      <c r="Q36" s="22">
        <f>VLOOKUP($B36,Данные!$A$1:$U$1009,3,FALSE)</f>
        <v>21000</v>
      </c>
      <c r="R36" s="113">
        <f t="shared" si="0"/>
        <v>175</v>
      </c>
      <c r="S36" s="37" t="str">
        <f>VLOOKUP($B36,Данные!$A$1:$U$1009,15,FALSE)</f>
        <v>5000К</v>
      </c>
      <c r="T36" s="37">
        <f>VLOOKUP($B36,Данные!$A$1:$U$1009,7,FALSE)</f>
        <v>67</v>
      </c>
      <c r="U36" s="108" t="str">
        <f>VLOOKUP($B36,Данные!$A$1:$U$1009,16,FALSE)</f>
        <v>5 лет</v>
      </c>
      <c r="V36" s="406">
        <v>14555</v>
      </c>
    </row>
    <row r="37" spans="1:22" ht="99.9" customHeight="1" thickBot="1">
      <c r="A37" s="388"/>
      <c r="B37" s="20" t="s">
        <v>235</v>
      </c>
      <c r="C37" s="194">
        <f>VLOOKUP(B37,Данные!A34:Z391,26,FALSE)</f>
        <v>5018</v>
      </c>
      <c r="D37" s="343"/>
      <c r="E37" s="390"/>
      <c r="F37" s="79" t="str">
        <f>VLOOKUP($B37,Данные!$A$1:$U$1009,6,FALSE)</f>
        <v>Г (глубокая), 60 гр</v>
      </c>
      <c r="G37" s="79" t="str">
        <f>VLOOKUP($B37,Данные!$A$1:$U$1009,8,FALSE)</f>
        <v>Samsung COB G2</v>
      </c>
      <c r="H37" s="79" t="str">
        <f>VLOOKUP($B37,Данные!$A$1:$U$1009,12,FALSE)</f>
        <v>Экструдированный алюминиевый профиль (анодированный), боросиликатная оптика с  силиконовой прокладкой</v>
      </c>
      <c r="I37" s="79" t="str">
        <f>VLOOKUP($B37,Данные!$A$1:$U$1009,4,FALSE)</f>
        <v>176-264В AС</v>
      </c>
      <c r="J37" s="79">
        <f>VLOOKUP($B37,Данные!$A$1:$U$1009,5,FALSE)</f>
        <v>0.95</v>
      </c>
      <c r="K37" s="79" t="str">
        <f>VLOOKUP($B37,Данные!$A$1:$U$1009,13,FALSE)</f>
        <v xml:space="preserve"> -60°...+50° С</v>
      </c>
      <c r="L37" s="79" t="str">
        <f>VLOOKUP($B37,Данные!$A$1:$U$1009,14,FALSE)</f>
        <v>60 000 ч</v>
      </c>
      <c r="M37" s="79" t="str">
        <f>VLOOKUP($B37,Данные!$A$1:$U$1009,10,FALSE)</f>
        <v>274х412х195</v>
      </c>
      <c r="N37" s="79">
        <f>VLOOKUP($B37,Данные!$A$1:$U$1009,11,FALSE)</f>
        <v>0</v>
      </c>
      <c r="O37" s="28" t="str">
        <f>VLOOKUP($B37,Данные!$A$1:$U$1009,9,FALSE)</f>
        <v>-</v>
      </c>
      <c r="P37" s="25">
        <f>VLOOKUP($B37,Данные!$A$1:$U$1009,2,FALSE)</f>
        <v>180</v>
      </c>
      <c r="Q37" s="26">
        <f>VLOOKUP($B37,Данные!$A$1:$U$1009,3,FALSE)</f>
        <v>28800</v>
      </c>
      <c r="R37" s="114">
        <f t="shared" si="0"/>
        <v>160</v>
      </c>
      <c r="S37" s="38" t="str">
        <f>VLOOKUP($B37,Данные!$A$1:$U$1009,15,FALSE)</f>
        <v>5000К</v>
      </c>
      <c r="T37" s="38">
        <f>VLOOKUP($B37,Данные!$A$1:$U$1009,7,FALSE)</f>
        <v>67</v>
      </c>
      <c r="U37" s="110" t="str">
        <f>VLOOKUP($B37,Данные!$A$1:$U$1009,16,FALSE)</f>
        <v>5 лет</v>
      </c>
      <c r="V37" s="408">
        <v>14555</v>
      </c>
    </row>
    <row r="38" spans="1:22" ht="99.9" customHeight="1">
      <c r="A38" s="387"/>
      <c r="B38" s="19" t="s">
        <v>236</v>
      </c>
      <c r="C38" s="193">
        <f>VLOOKUP(B38,Данные!A35:Z392,26,FALSE)</f>
        <v>5019</v>
      </c>
      <c r="D38" s="342" t="s">
        <v>32</v>
      </c>
      <c r="E38" s="389" t="str">
        <f t="shared" ref="E38" si="16">CONCATENATE(CONCATENATE($F$3,": ",$F38,CHAR(10),$G$3,": ",$G38,CHAR(10),$H$3,": ",$H38,CHAR(10),$I$3,": ",$I38,CHAR(10),$J$3,": ",$J38,CHAR(10),$K$3,": ",$K38,CHAR(10),$L$3,": ",$L38,CHAR(10)))</f>
        <v xml:space="preserve">КСС: Л (полуширокая), 90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38" s="78" t="str">
        <f>VLOOKUP($B38,Данные!$A$1:$U$1009,6,FALSE)</f>
        <v>Л (полуширокая), 90 гр</v>
      </c>
      <c r="G38" s="78" t="str">
        <f>VLOOKUP($B38,Данные!$A$1:$U$1009,8,FALSE)</f>
        <v>Samsung COB G2</v>
      </c>
      <c r="H38" s="78" t="str">
        <f>VLOOKUP($B38,Данные!$A$1:$U$1009,12,FALSE)</f>
        <v>Экструдированный алюминиевый профиль (анодированный), боросиликатная оптика с  силиконовой прокладкой</v>
      </c>
      <c r="I38" s="78" t="str">
        <f>VLOOKUP($B38,Данные!$A$1:$U$1009,4,FALSE)</f>
        <v>176-264В AС</v>
      </c>
      <c r="J38" s="78">
        <f>VLOOKUP($B38,Данные!$A$1:$U$1009,5,FALSE)</f>
        <v>0.95</v>
      </c>
      <c r="K38" s="78" t="str">
        <f>VLOOKUP($B38,Данные!$A$1:$U$1009,13,FALSE)</f>
        <v xml:space="preserve"> -60°...+50° С</v>
      </c>
      <c r="L38" s="78" t="str">
        <f>VLOOKUP($B38,Данные!$A$1:$U$1009,14,FALSE)</f>
        <v>60 000 ч</v>
      </c>
      <c r="M38" s="78" t="str">
        <f>VLOOKUP($B38,Данные!$A$1:$U$1009,10,FALSE)</f>
        <v>200х412х195</v>
      </c>
      <c r="N38" s="78">
        <f>VLOOKUP($B38,Данные!$A$1:$U$1009,11,FALSE)</f>
        <v>0</v>
      </c>
      <c r="O38" s="24" t="str">
        <f>VLOOKUP($B38,Данные!$A$1:$U$1009,9,FALSE)</f>
        <v>-</v>
      </c>
      <c r="P38" s="21">
        <f>VLOOKUP($B38,Данные!$A$1:$U$1009,2,FALSE)</f>
        <v>120</v>
      </c>
      <c r="Q38" s="22">
        <f>VLOOKUP($B38,Данные!$A$1:$U$1009,3,FALSE)</f>
        <v>21000</v>
      </c>
      <c r="R38" s="113">
        <f t="shared" si="0"/>
        <v>175</v>
      </c>
      <c r="S38" s="37" t="str">
        <f>VLOOKUP($B38,Данные!$A$1:$U$1009,15,FALSE)</f>
        <v>5000К</v>
      </c>
      <c r="T38" s="37">
        <f>VLOOKUP($B38,Данные!$A$1:$U$1009,7,FALSE)</f>
        <v>67</v>
      </c>
      <c r="U38" s="108" t="str">
        <f>VLOOKUP($B38,Данные!$A$1:$U$1009,16,FALSE)</f>
        <v>5 лет</v>
      </c>
      <c r="V38" s="406">
        <v>14555</v>
      </c>
    </row>
    <row r="39" spans="1:22" ht="99.9" customHeight="1" thickBot="1">
      <c r="A39" s="388"/>
      <c r="B39" s="20" t="s">
        <v>237</v>
      </c>
      <c r="C39" s="194">
        <f>VLOOKUP(B39,Данные!A36:Z393,26,FALSE)</f>
        <v>5020</v>
      </c>
      <c r="D39" s="343"/>
      <c r="E39" s="390"/>
      <c r="F39" s="79" t="str">
        <f>VLOOKUP($B39,Данные!$A$1:$U$1009,6,FALSE)</f>
        <v>Л (полуширокая), 90 гр</v>
      </c>
      <c r="G39" s="79" t="str">
        <f>VLOOKUP($B39,Данные!$A$1:$U$1009,8,FALSE)</f>
        <v>Samsung COB G2</v>
      </c>
      <c r="H39" s="79" t="str">
        <f>VLOOKUP($B39,Данные!$A$1:$U$1009,12,FALSE)</f>
        <v>Экструдированный алюминиевый профиль (анодированный), боросиликатная оптика с  силиконовой прокладкой</v>
      </c>
      <c r="I39" s="79" t="str">
        <f>VLOOKUP($B39,Данные!$A$1:$U$1009,4,FALSE)</f>
        <v>176-264В AС</v>
      </c>
      <c r="J39" s="79">
        <f>VLOOKUP($B39,Данные!$A$1:$U$1009,5,FALSE)</f>
        <v>0.95</v>
      </c>
      <c r="K39" s="79" t="str">
        <f>VLOOKUP($B39,Данные!$A$1:$U$1009,13,FALSE)</f>
        <v xml:space="preserve"> -60°...+50° С</v>
      </c>
      <c r="L39" s="79" t="str">
        <f>VLOOKUP($B39,Данные!$A$1:$U$1009,14,FALSE)</f>
        <v>60 000 ч</v>
      </c>
      <c r="M39" s="79" t="str">
        <f>VLOOKUP($B39,Данные!$A$1:$U$1009,10,FALSE)</f>
        <v>274х412х195</v>
      </c>
      <c r="N39" s="79">
        <f>VLOOKUP($B39,Данные!$A$1:$U$1009,11,FALSE)</f>
        <v>0</v>
      </c>
      <c r="O39" s="28" t="str">
        <f>VLOOKUP($B39,Данные!$A$1:$U$1009,9,FALSE)</f>
        <v>-</v>
      </c>
      <c r="P39" s="25">
        <f>VLOOKUP($B39,Данные!$A$1:$U$1009,2,FALSE)</f>
        <v>180</v>
      </c>
      <c r="Q39" s="26">
        <f>VLOOKUP($B39,Данные!$A$1:$U$1009,3,FALSE)</f>
        <v>28800</v>
      </c>
      <c r="R39" s="114">
        <f t="shared" si="0"/>
        <v>160</v>
      </c>
      <c r="S39" s="38" t="str">
        <f>VLOOKUP($B39,Данные!$A$1:$U$1009,15,FALSE)</f>
        <v>5000К</v>
      </c>
      <c r="T39" s="38">
        <f>VLOOKUP($B39,Данные!$A$1:$U$1009,7,FALSE)</f>
        <v>67</v>
      </c>
      <c r="U39" s="110" t="str">
        <f>VLOOKUP($B39,Данные!$A$1:$U$1009,16,FALSE)</f>
        <v>5 лет</v>
      </c>
      <c r="V39" s="408">
        <v>14555</v>
      </c>
    </row>
    <row r="40" spans="1:22" ht="99.9" customHeight="1">
      <c r="A40" s="387"/>
      <c r="B40" s="19" t="s">
        <v>238</v>
      </c>
      <c r="C40" s="193">
        <f>VLOOKUP(B40,Данные!A37:Z394,26,FALSE)</f>
        <v>5021</v>
      </c>
      <c r="D40" s="342" t="s">
        <v>32</v>
      </c>
      <c r="E40" s="389" t="str">
        <f t="shared" ref="E40" si="17">CONCATENATE(CONCATENATE($F$3,": ",$F40,CHAR(10),$G$3,": ",$G40,CHAR(10),$H$3,": ",$H40,CHAR(10),$I$3,": ",$I40,CHAR(10),$J$3,": ",$J40,CHAR(10),$K$3,": ",$K40,CHAR(10),$L$3,": ",$L40,CHAR(10)))</f>
        <v xml:space="preserve">КСС: Ш (широкая), 120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40" s="78" t="str">
        <f>VLOOKUP($B40,Данные!$A$1:$U$1009,6,FALSE)</f>
        <v>Ш (широкая), 120 гр</v>
      </c>
      <c r="G40" s="78" t="str">
        <f>VLOOKUP($B40,Данные!$A$1:$U$1009,8,FALSE)</f>
        <v>Samsung COB G2</v>
      </c>
      <c r="H40" s="78" t="str">
        <f>VLOOKUP($B40,Данные!$A$1:$U$1009,12,FALSE)</f>
        <v>Экструдированный алюминиевый профиль (анодированный), боросиликатная оптика с  силиконовой прокладкой</v>
      </c>
      <c r="I40" s="78" t="str">
        <f>VLOOKUP($B40,Данные!$A$1:$U$1009,4,FALSE)</f>
        <v>176-264В AС</v>
      </c>
      <c r="J40" s="78">
        <f>VLOOKUP($B40,Данные!$A$1:$U$1009,5,FALSE)</f>
        <v>0.95</v>
      </c>
      <c r="K40" s="78" t="str">
        <f>VLOOKUP($B40,Данные!$A$1:$U$1009,13,FALSE)</f>
        <v xml:space="preserve"> -60°...+50° С</v>
      </c>
      <c r="L40" s="78" t="str">
        <f>VLOOKUP($B40,Данные!$A$1:$U$1009,14,FALSE)</f>
        <v>60 000 ч</v>
      </c>
      <c r="M40" s="78" t="str">
        <f>VLOOKUP($B40,Данные!$A$1:$U$1009,10,FALSE)</f>
        <v>200х412х195</v>
      </c>
      <c r="N40" s="78">
        <f>VLOOKUP($B40,Данные!$A$1:$U$1009,11,FALSE)</f>
        <v>0</v>
      </c>
      <c r="O40" s="24" t="str">
        <f>VLOOKUP($B40,Данные!$A$1:$U$1009,9,FALSE)</f>
        <v>-</v>
      </c>
      <c r="P40" s="21">
        <f>VLOOKUP($B40,Данные!$A$1:$U$1009,2,FALSE)</f>
        <v>120</v>
      </c>
      <c r="Q40" s="22">
        <f>VLOOKUP($B40,Данные!$A$1:$U$1009,3,FALSE)</f>
        <v>21000</v>
      </c>
      <c r="R40" s="113">
        <f t="shared" si="0"/>
        <v>175</v>
      </c>
      <c r="S40" s="37" t="str">
        <f>VLOOKUP($B40,Данные!$A$1:$U$1009,15,FALSE)</f>
        <v>5000К</v>
      </c>
      <c r="T40" s="37">
        <f>VLOOKUP($B40,Данные!$A$1:$U$1009,7,FALSE)</f>
        <v>67</v>
      </c>
      <c r="U40" s="108" t="str">
        <f>VLOOKUP($B40,Данные!$A$1:$U$1009,16,FALSE)</f>
        <v>5 лет</v>
      </c>
      <c r="V40" s="406">
        <v>14555</v>
      </c>
    </row>
    <row r="41" spans="1:22" ht="99.9" customHeight="1" thickBot="1">
      <c r="A41" s="388"/>
      <c r="B41" s="20" t="s">
        <v>239</v>
      </c>
      <c r="C41" s="194">
        <f>VLOOKUP(B41,Данные!A38:Z395,26,FALSE)</f>
        <v>5022</v>
      </c>
      <c r="D41" s="343"/>
      <c r="E41" s="390"/>
      <c r="F41" s="79" t="str">
        <f>VLOOKUP($B41,Данные!$A$1:$U$1009,6,FALSE)</f>
        <v>Ш (широкая), 120 гр</v>
      </c>
      <c r="G41" s="79" t="str">
        <f>VLOOKUP($B41,Данные!$A$1:$U$1009,8,FALSE)</f>
        <v>Samsung COB G2</v>
      </c>
      <c r="H41" s="79" t="str">
        <f>VLOOKUP($B41,Данные!$A$1:$U$1009,12,FALSE)</f>
        <v>Экструдированный алюминиевый профиль (анодированный), боросиликатная оптика с  силиконовой прокладкой</v>
      </c>
      <c r="I41" s="79" t="str">
        <f>VLOOKUP($B41,Данные!$A$1:$U$1009,4,FALSE)</f>
        <v>176-264В AС</v>
      </c>
      <c r="J41" s="79">
        <f>VLOOKUP($B41,Данные!$A$1:$U$1009,5,FALSE)</f>
        <v>0.95</v>
      </c>
      <c r="K41" s="79" t="str">
        <f>VLOOKUP($B41,Данные!$A$1:$U$1009,13,FALSE)</f>
        <v xml:space="preserve"> -60°...+50° С</v>
      </c>
      <c r="L41" s="79" t="str">
        <f>VLOOKUP($B41,Данные!$A$1:$U$1009,14,FALSE)</f>
        <v>60 000 ч</v>
      </c>
      <c r="M41" s="79" t="str">
        <f>VLOOKUP($B41,Данные!$A$1:$U$1009,10,FALSE)</f>
        <v>274х412х195</v>
      </c>
      <c r="N41" s="79">
        <f>VLOOKUP($B41,Данные!$A$1:$U$1009,11,FALSE)</f>
        <v>0</v>
      </c>
      <c r="O41" s="28" t="str">
        <f>VLOOKUP($B41,Данные!$A$1:$U$1009,9,FALSE)</f>
        <v>-</v>
      </c>
      <c r="P41" s="25">
        <f>VLOOKUP($B41,Данные!$A$1:$U$1009,2,FALSE)</f>
        <v>180</v>
      </c>
      <c r="Q41" s="26">
        <f>VLOOKUP($B41,Данные!$A$1:$U$1009,3,FALSE)</f>
        <v>28800</v>
      </c>
      <c r="R41" s="114">
        <f t="shared" si="0"/>
        <v>160</v>
      </c>
      <c r="S41" s="38" t="str">
        <f>VLOOKUP($B41,Данные!$A$1:$U$1009,15,FALSE)</f>
        <v>5000К</v>
      </c>
      <c r="T41" s="38">
        <f>VLOOKUP($B41,Данные!$A$1:$U$1009,7,FALSE)</f>
        <v>67</v>
      </c>
      <c r="U41" s="110" t="str">
        <f>VLOOKUP($B41,Данные!$A$1:$U$1009,16,FALSE)</f>
        <v>5 лет</v>
      </c>
      <c r="V41" s="408">
        <v>14555</v>
      </c>
    </row>
    <row r="42" spans="1:22" ht="99.9" customHeight="1">
      <c r="A42" s="387"/>
      <c r="B42" s="95" t="s">
        <v>240</v>
      </c>
      <c r="C42" s="195">
        <f>VLOOKUP(B42,Данные!A39:Z396,26,FALSE)</f>
        <v>5023</v>
      </c>
      <c r="D42" s="342" t="s">
        <v>32</v>
      </c>
      <c r="E42" s="389" t="str">
        <f t="shared" ref="E42" si="18">CONCATENATE(CONCATENATE($F$3,": ",$F42,CHAR(10),$G$3,": ",$G42,CHAR(10),$H$3,": ",$H42,CHAR(10),$I$3,": ",$I42,CHAR(10),$J$3,": ",$J42,CHAR(10),$K$3,": ",$K42,CHAR(10),$L$3,": ",$L42,CHAR(10)))</f>
        <v xml:space="preserve">КСС: Ш (широкая), боковая, 135*75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42" s="78" t="str">
        <f>VLOOKUP($B42,Данные!$A$1:$U$1009,6,FALSE)</f>
        <v>Ш (широкая), боковая, 135*75 гр</v>
      </c>
      <c r="G42" s="78" t="str">
        <f>VLOOKUP($B42,Данные!$A$1:$U$1009,8,FALSE)</f>
        <v>Samsung COB G2</v>
      </c>
      <c r="H42" s="78" t="str">
        <f>VLOOKUP($B42,Данные!$A$1:$U$1009,12,FALSE)</f>
        <v>Экструдированный алюминиевый профиль (анодированный), боросиликатная оптика с  силиконовой прокладкой</v>
      </c>
      <c r="I42" s="78" t="str">
        <f>VLOOKUP($B42,Данные!$A$1:$U$1009,4,FALSE)</f>
        <v>176-264В AС</v>
      </c>
      <c r="J42" s="78">
        <f>VLOOKUP($B42,Данные!$A$1:$U$1009,5,FALSE)</f>
        <v>0.95</v>
      </c>
      <c r="K42" s="78" t="str">
        <f>VLOOKUP($B42,Данные!$A$1:$U$1009,13,FALSE)</f>
        <v xml:space="preserve"> -60°...+50° С</v>
      </c>
      <c r="L42" s="78" t="str">
        <f>VLOOKUP($B42,Данные!$A$1:$U$1009,14,FALSE)</f>
        <v>60 000 ч</v>
      </c>
      <c r="M42" s="78" t="str">
        <f>VLOOKUP($B42,Данные!$A$1:$U$1009,10,FALSE)</f>
        <v>200х412х188</v>
      </c>
      <c r="N42" s="78">
        <f>VLOOKUP($B42,Данные!$A$1:$U$1009,11,FALSE)</f>
        <v>0</v>
      </c>
      <c r="O42" s="24" t="str">
        <f>VLOOKUP($B42,Данные!$A$1:$U$1009,9,FALSE)</f>
        <v>-</v>
      </c>
      <c r="P42" s="21">
        <f>VLOOKUP($B42,Данные!$A$1:$U$1009,2,FALSE)</f>
        <v>120</v>
      </c>
      <c r="Q42" s="22">
        <f>VLOOKUP($B42,Данные!$A$1:$U$1009,3,FALSE)</f>
        <v>21000</v>
      </c>
      <c r="R42" s="113">
        <f t="shared" si="0"/>
        <v>175</v>
      </c>
      <c r="S42" s="37" t="str">
        <f>VLOOKUP($B42,Данные!$A$1:$U$1009,15,FALSE)</f>
        <v>5000К</v>
      </c>
      <c r="T42" s="37">
        <f>VLOOKUP($B42,Данные!$A$1:$U$1009,7,FALSE)</f>
        <v>67</v>
      </c>
      <c r="U42" s="108" t="str">
        <f>VLOOKUP($B42,Данные!$A$1:$U$1009,16,FALSE)</f>
        <v>5 лет</v>
      </c>
      <c r="V42" s="406">
        <v>14555</v>
      </c>
    </row>
    <row r="43" spans="1:22" ht="99.9" customHeight="1" thickBot="1">
      <c r="A43" s="388"/>
      <c r="B43" s="96" t="s">
        <v>241</v>
      </c>
      <c r="C43" s="196">
        <f>VLOOKUP(B43,Данные!A40:Z397,26,FALSE)</f>
        <v>5024</v>
      </c>
      <c r="D43" s="343"/>
      <c r="E43" s="390"/>
      <c r="F43" s="79" t="str">
        <f>VLOOKUP($B43,Данные!$A$1:$U$1009,6,FALSE)</f>
        <v>Ш (широкая), боковая, 135*75 гр</v>
      </c>
      <c r="G43" s="79" t="str">
        <f>VLOOKUP($B43,Данные!$A$1:$U$1009,8,FALSE)</f>
        <v>Samsung COB G2</v>
      </c>
      <c r="H43" s="79" t="str">
        <f>VLOOKUP($B43,Данные!$A$1:$U$1009,12,FALSE)</f>
        <v>Экструдированный алюминиевый профиль (анодированный), боросиликатная оптика с  силиконовой прокладкой</v>
      </c>
      <c r="I43" s="79" t="str">
        <f>VLOOKUP($B43,Данные!$A$1:$U$1009,4,FALSE)</f>
        <v>176-264В AС</v>
      </c>
      <c r="J43" s="79">
        <f>VLOOKUP($B43,Данные!$A$1:$U$1009,5,FALSE)</f>
        <v>0.95</v>
      </c>
      <c r="K43" s="79" t="str">
        <f>VLOOKUP($B43,Данные!$A$1:$U$1009,13,FALSE)</f>
        <v xml:space="preserve"> -60°...+50° С</v>
      </c>
      <c r="L43" s="79" t="str">
        <f>VLOOKUP($B43,Данные!$A$1:$U$1009,14,FALSE)</f>
        <v>60 000 ч</v>
      </c>
      <c r="M43" s="79" t="str">
        <f>VLOOKUP($B43,Данные!$A$1:$U$1009,10,FALSE)</f>
        <v>274х412х188</v>
      </c>
      <c r="N43" s="79">
        <f>VLOOKUP($B43,Данные!$A$1:$U$1009,11,FALSE)</f>
        <v>0</v>
      </c>
      <c r="O43" s="28" t="str">
        <f>VLOOKUP($B43,Данные!$A$1:$U$1009,9,FALSE)</f>
        <v>-</v>
      </c>
      <c r="P43" s="25">
        <f>VLOOKUP($B43,Данные!$A$1:$U$1009,2,FALSE)</f>
        <v>180</v>
      </c>
      <c r="Q43" s="26">
        <f>VLOOKUP($B43,Данные!$A$1:$U$1009,3,FALSE)</f>
        <v>28800</v>
      </c>
      <c r="R43" s="114">
        <f t="shared" si="0"/>
        <v>160</v>
      </c>
      <c r="S43" s="38" t="str">
        <f>VLOOKUP($B43,Данные!$A$1:$U$1009,15,FALSE)</f>
        <v>5000К</v>
      </c>
      <c r="T43" s="38">
        <f>VLOOKUP($B43,Данные!$A$1:$U$1009,7,FALSE)</f>
        <v>67</v>
      </c>
      <c r="U43" s="110" t="str">
        <f>VLOOKUP($B43,Данные!$A$1:$U$1009,16,FALSE)</f>
        <v>5 лет</v>
      </c>
      <c r="V43" s="408">
        <v>14555</v>
      </c>
    </row>
    <row r="44" spans="1:22" ht="99.9" customHeight="1">
      <c r="A44" s="387"/>
      <c r="B44" s="19" t="s">
        <v>258</v>
      </c>
      <c r="C44" s="193">
        <f>VLOOKUP(B44,Данные!A41:Z398,26,FALSE)</f>
        <v>5041</v>
      </c>
      <c r="D44" s="342" t="s">
        <v>32</v>
      </c>
      <c r="E44" s="389" t="str">
        <f t="shared" ref="E44" si="19">CONCATENATE(CONCATENATE($F$3,": ",$F44,CHAR(10),$G$3,": ",$G44,CHAR(10),$H$3,": ",$H44,CHAR(10),$I$3,": ",$I44,CHAR(10),$J$3,": ",$J44,CHAR(10),$K$3,": ",$K44,CHAR(10),$L$3,": ",$L44,CHAR(10)))</f>
        <v xml:space="preserve">КСС: Г (глубокая), 60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44" s="78" t="str">
        <f>VLOOKUP($B44,Данные!$A$1:$U$1009,6,FALSE)</f>
        <v>Г (глубокая), 60 гр</v>
      </c>
      <c r="G44" s="78" t="str">
        <f>VLOOKUP($B44,Данные!$A$1:$U$1009,8,FALSE)</f>
        <v>Samsung COB G2</v>
      </c>
      <c r="H44" s="78" t="str">
        <f>VLOOKUP($B44,Данные!$A$1:$U$1009,12,FALSE)</f>
        <v>Экструдированный алюминиевый профиль (анодированный), боросиликатная оптика с  силиконовой прокладкой</v>
      </c>
      <c r="I44" s="78" t="str">
        <f>VLOOKUP($B44,Данные!$A$1:$U$1009,4,FALSE)</f>
        <v>176-264В AС</v>
      </c>
      <c r="J44" s="78">
        <f>VLOOKUP($B44,Данные!$A$1:$U$1009,5,FALSE)</f>
        <v>0.95</v>
      </c>
      <c r="K44" s="78" t="str">
        <f>VLOOKUP($B44,Данные!$A$1:$U$1009,13,FALSE)</f>
        <v xml:space="preserve"> -60°...+50° С</v>
      </c>
      <c r="L44" s="78" t="str">
        <f>VLOOKUP($B44,Данные!$A$1:$U$1009,14,FALSE)</f>
        <v>60 000 ч</v>
      </c>
      <c r="M44" s="78" t="str">
        <f>VLOOKUP($B44,Данные!$A$1:$U$1009,10,FALSE)</f>
        <v>200х412х174</v>
      </c>
      <c r="N44" s="78">
        <f>VLOOKUP($B44,Данные!$A$1:$U$1009,11,FALSE)</f>
        <v>0</v>
      </c>
      <c r="O44" s="24" t="str">
        <f>VLOOKUP($B44,Данные!$A$1:$U$1009,9,FALSE)</f>
        <v>-</v>
      </c>
      <c r="P44" s="21">
        <f>VLOOKUP($B44,Данные!$A$1:$U$1009,2,FALSE)</f>
        <v>120</v>
      </c>
      <c r="Q44" s="22">
        <f>VLOOKUP($B44,Данные!$A$1:$U$1009,3,FALSE)</f>
        <v>21000</v>
      </c>
      <c r="R44" s="113">
        <f t="shared" si="0"/>
        <v>175</v>
      </c>
      <c r="S44" s="37" t="str">
        <f>VLOOKUP($B44,Данные!$A$1:$U$1009,15,FALSE)</f>
        <v>5000К</v>
      </c>
      <c r="T44" s="37">
        <f>VLOOKUP($B44,Данные!$A$1:$U$1009,7,FALSE)</f>
        <v>67</v>
      </c>
      <c r="U44" s="108" t="str">
        <f>VLOOKUP($B44,Данные!$A$1:$U$1009,16,FALSE)</f>
        <v>5 лет</v>
      </c>
      <c r="V44" s="406">
        <v>14555</v>
      </c>
    </row>
    <row r="45" spans="1:22" ht="99.9" customHeight="1" thickBot="1">
      <c r="A45" s="388"/>
      <c r="B45" s="20" t="s">
        <v>259</v>
      </c>
      <c r="C45" s="194">
        <f>VLOOKUP(B45,Данные!A42:Z399,26,FALSE)</f>
        <v>5042</v>
      </c>
      <c r="D45" s="343"/>
      <c r="E45" s="390"/>
      <c r="F45" s="79" t="str">
        <f>VLOOKUP($B45,Данные!$A$1:$U$1009,6,FALSE)</f>
        <v>Г (глубокая), 60 гр</v>
      </c>
      <c r="G45" s="79" t="str">
        <f>VLOOKUP($B45,Данные!$A$1:$U$1009,8,FALSE)</f>
        <v>Samsung COB G2</v>
      </c>
      <c r="H45" s="79" t="str">
        <f>VLOOKUP($B45,Данные!$A$1:$U$1009,12,FALSE)</f>
        <v>Экструдированный алюминиевый профиль (анодированный), боросиликатная оптика с  силиконовой прокладкой</v>
      </c>
      <c r="I45" s="79" t="str">
        <f>VLOOKUP($B45,Данные!$A$1:$U$1009,4,FALSE)</f>
        <v>176-264В AС</v>
      </c>
      <c r="J45" s="79">
        <f>VLOOKUP($B45,Данные!$A$1:$U$1009,5,FALSE)</f>
        <v>0.95</v>
      </c>
      <c r="K45" s="79" t="str">
        <f>VLOOKUP($B45,Данные!$A$1:$U$1009,13,FALSE)</f>
        <v xml:space="preserve"> -60°...+50° С</v>
      </c>
      <c r="L45" s="79" t="str">
        <f>VLOOKUP($B45,Данные!$A$1:$U$1009,14,FALSE)</f>
        <v>60 000 ч</v>
      </c>
      <c r="M45" s="79" t="str">
        <f>VLOOKUP($B45,Данные!$A$1:$U$1009,10,FALSE)</f>
        <v>274х412х174</v>
      </c>
      <c r="N45" s="79">
        <f>VLOOKUP($B45,Данные!$A$1:$U$1009,11,FALSE)</f>
        <v>0</v>
      </c>
      <c r="O45" s="28" t="str">
        <f>VLOOKUP($B45,Данные!$A$1:$U$1009,9,FALSE)</f>
        <v>-</v>
      </c>
      <c r="P45" s="25">
        <f>VLOOKUP($B45,Данные!$A$1:$U$1009,2,FALSE)</f>
        <v>180</v>
      </c>
      <c r="Q45" s="26">
        <f>VLOOKUP($B45,Данные!$A$1:$U$1009,3,FALSE)</f>
        <v>28800</v>
      </c>
      <c r="R45" s="114">
        <f t="shared" ref="R45" si="20">Q45/P45</f>
        <v>160</v>
      </c>
      <c r="S45" s="38" t="str">
        <f>VLOOKUP($B45,Данные!$A$1:$U$1009,15,FALSE)</f>
        <v>5000К</v>
      </c>
      <c r="T45" s="38">
        <f>VLOOKUP($B45,Данные!$A$1:$U$1009,7,FALSE)</f>
        <v>67</v>
      </c>
      <c r="U45" s="110" t="str">
        <f>VLOOKUP($B45,Данные!$A$1:$U$1009,16,FALSE)</f>
        <v>5 лет</v>
      </c>
      <c r="V45" s="408">
        <v>14555</v>
      </c>
    </row>
    <row r="46" spans="1:22" ht="99.9" customHeight="1">
      <c r="A46" s="387"/>
      <c r="B46" s="19" t="s">
        <v>260</v>
      </c>
      <c r="C46" s="193">
        <f>VLOOKUP(B46,Данные!A43:Z400,26,FALSE)</f>
        <v>5043</v>
      </c>
      <c r="D46" s="342" t="s">
        <v>32</v>
      </c>
      <c r="E46" s="389" t="str">
        <f t="shared" ref="E46" si="21">CONCATENATE(CONCATENATE($F$3,": ",$F46,CHAR(10),$G$3,": ",$G46,CHAR(10),$H$3,": ",$H46,CHAR(10),$I$3,": ",$I46,CHAR(10),$J$3,": ",$J46,CHAR(10),$K$3,": ",$K46,CHAR(10),$L$3,": ",$L46,CHAR(10)))</f>
        <v xml:space="preserve">КСС: Л (полуширокая), 90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46" s="78" t="str">
        <f>VLOOKUP($B46,Данные!$A$1:$U$1009,6,FALSE)</f>
        <v>Л (полуширокая), 90 гр</v>
      </c>
      <c r="G46" s="78" t="str">
        <f>VLOOKUP($B46,Данные!$A$1:$U$1009,8,FALSE)</f>
        <v>Samsung COB G2</v>
      </c>
      <c r="H46" s="78" t="str">
        <f>VLOOKUP($B46,Данные!$A$1:$U$1009,12,FALSE)</f>
        <v>Экструдированный алюминиевый профиль (анодированный), боросиликатная оптика с  силиконовой прокладкой</v>
      </c>
      <c r="I46" s="78" t="str">
        <f>VLOOKUP($B46,Данные!$A$1:$U$1009,4,FALSE)</f>
        <v>176-264В AС</v>
      </c>
      <c r="J46" s="78">
        <f>VLOOKUP($B46,Данные!$A$1:$U$1009,5,FALSE)</f>
        <v>0.95</v>
      </c>
      <c r="K46" s="78" t="str">
        <f>VLOOKUP($B46,Данные!$A$1:$U$1009,13,FALSE)</f>
        <v xml:space="preserve"> -60°...+50° С</v>
      </c>
      <c r="L46" s="78" t="str">
        <f>VLOOKUP($B46,Данные!$A$1:$U$1009,14,FALSE)</f>
        <v>60 000 ч</v>
      </c>
      <c r="M46" s="78" t="str">
        <f>VLOOKUP($B46,Данные!$A$1:$U$1009,10,FALSE)</f>
        <v>200х412х174</v>
      </c>
      <c r="N46" s="78">
        <f>VLOOKUP($B46,Данные!$A$1:$U$1009,11,FALSE)</f>
        <v>0</v>
      </c>
      <c r="O46" s="24" t="str">
        <f>VLOOKUP($B46,Данные!$A$1:$U$1009,9,FALSE)</f>
        <v>-</v>
      </c>
      <c r="P46" s="21">
        <f>VLOOKUP($B46,Данные!$A$1:$U$1009,2,FALSE)</f>
        <v>120</v>
      </c>
      <c r="Q46" s="22">
        <f>VLOOKUP($B46,Данные!$A$1:$U$1009,3,FALSE)</f>
        <v>21000</v>
      </c>
      <c r="R46" s="113">
        <f t="shared" ref="R46:R51" si="22">Q46/P46</f>
        <v>175</v>
      </c>
      <c r="S46" s="37" t="str">
        <f>VLOOKUP($B46,Данные!$A$1:$U$1009,15,FALSE)</f>
        <v>5000К</v>
      </c>
      <c r="T46" s="37">
        <f>VLOOKUP($B46,Данные!$A$1:$U$1009,7,FALSE)</f>
        <v>67</v>
      </c>
      <c r="U46" s="108" t="str">
        <f>VLOOKUP($B46,Данные!$A$1:$U$1009,16,FALSE)</f>
        <v>5 лет</v>
      </c>
      <c r="V46" s="406">
        <v>14555</v>
      </c>
    </row>
    <row r="47" spans="1:22" ht="99.9" customHeight="1" thickBot="1">
      <c r="A47" s="388"/>
      <c r="B47" s="20" t="s">
        <v>261</v>
      </c>
      <c r="C47" s="194">
        <f>VLOOKUP(B47,Данные!A44:Z401,26,FALSE)</f>
        <v>5044</v>
      </c>
      <c r="D47" s="343"/>
      <c r="E47" s="390"/>
      <c r="F47" s="79" t="str">
        <f>VLOOKUP($B47,Данные!$A$1:$U$1009,6,FALSE)</f>
        <v>Л (полуширокая), 90 гр</v>
      </c>
      <c r="G47" s="79" t="str">
        <f>VLOOKUP($B47,Данные!$A$1:$U$1009,8,FALSE)</f>
        <v>Samsung COB G2</v>
      </c>
      <c r="H47" s="79" t="str">
        <f>VLOOKUP($B47,Данные!$A$1:$U$1009,12,FALSE)</f>
        <v>Экструдированный алюминиевый профиль (анодированный), боросиликатная оптика с  силиконовой прокладкой</v>
      </c>
      <c r="I47" s="79" t="str">
        <f>VLOOKUP($B47,Данные!$A$1:$U$1009,4,FALSE)</f>
        <v>176-264В AС</v>
      </c>
      <c r="J47" s="79">
        <f>VLOOKUP($B47,Данные!$A$1:$U$1009,5,FALSE)</f>
        <v>0.95</v>
      </c>
      <c r="K47" s="79" t="str">
        <f>VLOOKUP($B47,Данные!$A$1:$U$1009,13,FALSE)</f>
        <v xml:space="preserve"> -60°...+50° С</v>
      </c>
      <c r="L47" s="79" t="str">
        <f>VLOOKUP($B47,Данные!$A$1:$U$1009,14,FALSE)</f>
        <v>60 000 ч</v>
      </c>
      <c r="M47" s="79" t="str">
        <f>VLOOKUP($B47,Данные!$A$1:$U$1009,10,FALSE)</f>
        <v>274х412х174</v>
      </c>
      <c r="N47" s="79">
        <f>VLOOKUP($B47,Данные!$A$1:$U$1009,11,FALSE)</f>
        <v>0</v>
      </c>
      <c r="O47" s="28" t="str">
        <f>VLOOKUP($B47,Данные!$A$1:$U$1009,9,FALSE)</f>
        <v>-</v>
      </c>
      <c r="P47" s="25">
        <f>VLOOKUP($B47,Данные!$A$1:$U$1009,2,FALSE)</f>
        <v>180</v>
      </c>
      <c r="Q47" s="26">
        <f>VLOOKUP($B47,Данные!$A$1:$U$1009,3,FALSE)</f>
        <v>28800</v>
      </c>
      <c r="R47" s="114">
        <f t="shared" si="22"/>
        <v>160</v>
      </c>
      <c r="S47" s="38" t="str">
        <f>VLOOKUP($B47,Данные!$A$1:$U$1009,15,FALSE)</f>
        <v>5000К</v>
      </c>
      <c r="T47" s="38">
        <f>VLOOKUP($B47,Данные!$A$1:$U$1009,7,FALSE)</f>
        <v>67</v>
      </c>
      <c r="U47" s="110" t="str">
        <f>VLOOKUP($B47,Данные!$A$1:$U$1009,16,FALSE)</f>
        <v>5 лет</v>
      </c>
      <c r="V47" s="408">
        <v>14555</v>
      </c>
    </row>
    <row r="48" spans="1:22" ht="99.9" customHeight="1">
      <c r="A48" s="387"/>
      <c r="B48" s="19" t="s">
        <v>262</v>
      </c>
      <c r="C48" s="193">
        <f>VLOOKUP(B48,Данные!A45:Z402,26,FALSE)</f>
        <v>5045</v>
      </c>
      <c r="D48" s="342" t="s">
        <v>32</v>
      </c>
      <c r="E48" s="389" t="str">
        <f t="shared" ref="E48" si="23">CONCATENATE(CONCATENATE($F$3,": ",$F48,CHAR(10),$G$3,": ",$G48,CHAR(10),$H$3,": ",$H48,CHAR(10),$I$3,": ",$I48,CHAR(10),$J$3,": ",$J48,CHAR(10),$K$3,": ",$K48,CHAR(10),$L$3,": ",$L48,CHAR(10)))</f>
        <v xml:space="preserve">КСС: Ш (широкая), 120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48" s="78" t="str">
        <f>VLOOKUP($B48,Данные!$A$1:$U$1009,6,FALSE)</f>
        <v>Ш (широкая), 120 гр</v>
      </c>
      <c r="G48" s="78" t="str">
        <f>VLOOKUP($B48,Данные!$A$1:$U$1009,8,FALSE)</f>
        <v>Samsung COB G2</v>
      </c>
      <c r="H48" s="78" t="str">
        <f>VLOOKUP($B48,Данные!$A$1:$U$1009,12,FALSE)</f>
        <v>Экструдированный алюминиевый профиль (анодированный), боросиликатная оптика с  силиконовой прокладкой</v>
      </c>
      <c r="I48" s="78" t="str">
        <f>VLOOKUP($B48,Данные!$A$1:$U$1009,4,FALSE)</f>
        <v>176-264В AС</v>
      </c>
      <c r="J48" s="78">
        <f>VLOOKUP($B48,Данные!$A$1:$U$1009,5,FALSE)</f>
        <v>0.95</v>
      </c>
      <c r="K48" s="78" t="str">
        <f>VLOOKUP($B48,Данные!$A$1:$U$1009,13,FALSE)</f>
        <v xml:space="preserve"> -60°...+50° С</v>
      </c>
      <c r="L48" s="78" t="str">
        <f>VLOOKUP($B48,Данные!$A$1:$U$1009,14,FALSE)</f>
        <v>60 000 ч</v>
      </c>
      <c r="M48" s="78" t="str">
        <f>VLOOKUP($B48,Данные!$A$1:$U$1009,10,FALSE)</f>
        <v>200х412х174</v>
      </c>
      <c r="N48" s="78">
        <f>VLOOKUP($B48,Данные!$A$1:$U$1009,11,FALSE)</f>
        <v>0</v>
      </c>
      <c r="O48" s="24" t="str">
        <f>VLOOKUP($B48,Данные!$A$1:$U$1009,9,FALSE)</f>
        <v>-</v>
      </c>
      <c r="P48" s="21">
        <f>VLOOKUP($B48,Данные!$A$1:$U$1009,2,FALSE)</f>
        <v>120</v>
      </c>
      <c r="Q48" s="22">
        <f>VLOOKUP($B48,Данные!$A$1:$U$1009,3,FALSE)</f>
        <v>21000</v>
      </c>
      <c r="R48" s="113">
        <f t="shared" si="22"/>
        <v>175</v>
      </c>
      <c r="S48" s="37" t="str">
        <f>VLOOKUP($B48,Данные!$A$1:$U$1009,15,FALSE)</f>
        <v>5000К</v>
      </c>
      <c r="T48" s="37">
        <f>VLOOKUP($B48,Данные!$A$1:$U$1009,7,FALSE)</f>
        <v>67</v>
      </c>
      <c r="U48" s="108" t="str">
        <f>VLOOKUP($B48,Данные!$A$1:$U$1009,16,FALSE)</f>
        <v>5 лет</v>
      </c>
      <c r="V48" s="406">
        <v>14555</v>
      </c>
    </row>
    <row r="49" spans="1:22" ht="99.9" customHeight="1" thickBot="1">
      <c r="A49" s="388"/>
      <c r="B49" s="20" t="s">
        <v>263</v>
      </c>
      <c r="C49" s="194">
        <f>VLOOKUP(B49,Данные!A46:Z403,26,FALSE)</f>
        <v>5046</v>
      </c>
      <c r="D49" s="343"/>
      <c r="E49" s="390"/>
      <c r="F49" s="79" t="str">
        <f>VLOOKUP($B49,Данные!$A$1:$U$1009,6,FALSE)</f>
        <v>Ш (широкая), 120 гр</v>
      </c>
      <c r="G49" s="79" t="str">
        <f>VLOOKUP($B49,Данные!$A$1:$U$1009,8,FALSE)</f>
        <v>Samsung COB G2</v>
      </c>
      <c r="H49" s="79" t="str">
        <f>VLOOKUP($B49,Данные!$A$1:$U$1009,12,FALSE)</f>
        <v>Экструдированный алюминиевый профиль (анодированный), боросиликатная оптика с  силиконовой прокладкой</v>
      </c>
      <c r="I49" s="79" t="str">
        <f>VLOOKUP($B49,Данные!$A$1:$U$1009,4,FALSE)</f>
        <v>176-264В AС</v>
      </c>
      <c r="J49" s="79">
        <f>VLOOKUP($B49,Данные!$A$1:$U$1009,5,FALSE)</f>
        <v>0.95</v>
      </c>
      <c r="K49" s="79" t="str">
        <f>VLOOKUP($B49,Данные!$A$1:$U$1009,13,FALSE)</f>
        <v xml:space="preserve"> -60°...+50° С</v>
      </c>
      <c r="L49" s="79" t="str">
        <f>VLOOKUP($B49,Данные!$A$1:$U$1009,14,FALSE)</f>
        <v>60 000 ч</v>
      </c>
      <c r="M49" s="79" t="str">
        <f>VLOOKUP($B49,Данные!$A$1:$U$1009,10,FALSE)</f>
        <v>260х412х174</v>
      </c>
      <c r="N49" s="79">
        <f>VLOOKUP($B49,Данные!$A$1:$U$1009,11,FALSE)</f>
        <v>0</v>
      </c>
      <c r="O49" s="28" t="str">
        <f>VLOOKUP($B49,Данные!$A$1:$U$1009,9,FALSE)</f>
        <v>-</v>
      </c>
      <c r="P49" s="25">
        <f>VLOOKUP($B49,Данные!$A$1:$U$1009,2,FALSE)</f>
        <v>180</v>
      </c>
      <c r="Q49" s="26">
        <f>VLOOKUP($B49,Данные!$A$1:$U$1009,3,FALSE)</f>
        <v>28800</v>
      </c>
      <c r="R49" s="114">
        <f t="shared" si="22"/>
        <v>160</v>
      </c>
      <c r="S49" s="38" t="str">
        <f>VLOOKUP($B49,Данные!$A$1:$U$1009,15,FALSE)</f>
        <v>5000К</v>
      </c>
      <c r="T49" s="38">
        <f>VLOOKUP($B49,Данные!$A$1:$U$1009,7,FALSE)</f>
        <v>67</v>
      </c>
      <c r="U49" s="110" t="str">
        <f>VLOOKUP($B49,Данные!$A$1:$U$1009,16,FALSE)</f>
        <v>5 лет</v>
      </c>
      <c r="V49" s="408">
        <v>14555</v>
      </c>
    </row>
    <row r="50" spans="1:22" ht="99.9" customHeight="1">
      <c r="A50" s="387"/>
      <c r="B50" s="95" t="s">
        <v>264</v>
      </c>
      <c r="C50" s="195">
        <f>VLOOKUP(B50,Данные!A47:Z404,26,FALSE)</f>
        <v>5047</v>
      </c>
      <c r="D50" s="342" t="s">
        <v>32</v>
      </c>
      <c r="E50" s="389" t="str">
        <f t="shared" ref="E50" si="24">CONCATENATE(CONCATENATE($F$3,": ",$F50,CHAR(10),$G$3,": ",$G50,CHAR(10),$H$3,": ",$H50,CHAR(10),$I$3,": ",$I50,CHAR(10),$J$3,": ",$J50,CHAR(10),$K$3,": ",$K50,CHAR(10),$L$3,": ",$L50,CHAR(10)))</f>
        <v xml:space="preserve">КСС: Ш (широкая), боковая, 135*75 гр
Светодиоды: Samsung COB G2
Материал: Экструдированный алюминиевый профиль (анодированный), боросиликатная оптика с  силиконовой прокладкой
Рабочее напряжение: 176-264В AС
Сos φ: 0,95
Рабочая t°:  -60°...+50° С
Срок службы: 60 000 ч
</v>
      </c>
      <c r="F50" s="78" t="str">
        <f>VLOOKUP($B50,Данные!$A$1:$U$1009,6,FALSE)</f>
        <v>Ш (широкая), боковая, 135*75 гр</v>
      </c>
      <c r="G50" s="78" t="str">
        <f>VLOOKUP($B50,Данные!$A$1:$U$1009,8,FALSE)</f>
        <v>Samsung COB G2</v>
      </c>
      <c r="H50" s="78" t="str">
        <f>VLOOKUP($B50,Данные!$A$1:$U$1009,12,FALSE)</f>
        <v>Экструдированный алюминиевый профиль (анодированный), боросиликатная оптика с  силиконовой прокладкой</v>
      </c>
      <c r="I50" s="78" t="str">
        <f>VLOOKUP($B50,Данные!$A$1:$U$1009,4,FALSE)</f>
        <v>176-264В AС</v>
      </c>
      <c r="J50" s="78">
        <f>VLOOKUP($B50,Данные!$A$1:$U$1009,5,FALSE)</f>
        <v>0.95</v>
      </c>
      <c r="K50" s="78" t="str">
        <f>VLOOKUP($B50,Данные!$A$1:$U$1009,13,FALSE)</f>
        <v xml:space="preserve"> -60°...+50° С</v>
      </c>
      <c r="L50" s="78" t="str">
        <f>VLOOKUP($B50,Данные!$A$1:$U$1009,14,FALSE)</f>
        <v>60 000 ч</v>
      </c>
      <c r="M50" s="78" t="str">
        <f>VLOOKUP($B50,Данные!$A$1:$U$1009,10,FALSE)</f>
        <v>200х412х166</v>
      </c>
      <c r="N50" s="78">
        <f>VLOOKUP($B50,Данные!$A$1:$U$1009,11,FALSE)</f>
        <v>0</v>
      </c>
      <c r="O50" s="24" t="str">
        <f>VLOOKUP($B50,Данные!$A$1:$U$1009,9,FALSE)</f>
        <v>-</v>
      </c>
      <c r="P50" s="21">
        <f>VLOOKUP($B50,Данные!$A$1:$U$1009,2,FALSE)</f>
        <v>120</v>
      </c>
      <c r="Q50" s="22">
        <f>VLOOKUP($B50,Данные!$A$1:$U$1009,3,FALSE)</f>
        <v>21000</v>
      </c>
      <c r="R50" s="113">
        <f t="shared" si="22"/>
        <v>175</v>
      </c>
      <c r="S50" s="37" t="str">
        <f>VLOOKUP($B50,Данные!$A$1:$U$1009,15,FALSE)</f>
        <v>5000К</v>
      </c>
      <c r="T50" s="37">
        <f>VLOOKUP($B50,Данные!$A$1:$U$1009,7,FALSE)</f>
        <v>67</v>
      </c>
      <c r="U50" s="108" t="str">
        <f>VLOOKUP($B50,Данные!$A$1:$U$1009,16,FALSE)</f>
        <v>5 лет</v>
      </c>
      <c r="V50" s="406">
        <v>14555</v>
      </c>
    </row>
    <row r="51" spans="1:22" ht="99.9" customHeight="1" thickBot="1">
      <c r="A51" s="388"/>
      <c r="B51" s="96" t="s">
        <v>265</v>
      </c>
      <c r="C51" s="196">
        <f>VLOOKUP(B51,Данные!A48:Z405,26,FALSE)</f>
        <v>5048</v>
      </c>
      <c r="D51" s="343"/>
      <c r="E51" s="390"/>
      <c r="F51" s="79" t="str">
        <f>VLOOKUP($B51,Данные!$A$1:$U$1009,6,FALSE)</f>
        <v>Ш (широкая), боковая, 135*75 гр</v>
      </c>
      <c r="G51" s="79" t="str">
        <f>VLOOKUP($B51,Данные!$A$1:$U$1009,8,FALSE)</f>
        <v>Samsung COB G2</v>
      </c>
      <c r="H51" s="79" t="str">
        <f>VLOOKUP($B51,Данные!$A$1:$U$1009,12,FALSE)</f>
        <v>Экструдированный алюминиевый профиль (анодированный), боросиликатная оптика с  силиконовой прокладкой</v>
      </c>
      <c r="I51" s="79" t="str">
        <f>VLOOKUP($B51,Данные!$A$1:$U$1009,4,FALSE)</f>
        <v>176-264В AС</v>
      </c>
      <c r="J51" s="79">
        <f>VLOOKUP($B51,Данные!$A$1:$U$1009,5,FALSE)</f>
        <v>0.95</v>
      </c>
      <c r="K51" s="79" t="str">
        <f>VLOOKUP($B51,Данные!$A$1:$U$1009,13,FALSE)</f>
        <v xml:space="preserve"> -60°...+50° С</v>
      </c>
      <c r="L51" s="79" t="str">
        <f>VLOOKUP($B51,Данные!$A$1:$U$1009,14,FALSE)</f>
        <v>60 000 ч</v>
      </c>
      <c r="M51" s="79" t="str">
        <f>VLOOKUP($B51,Данные!$A$1:$U$1009,10,FALSE)</f>
        <v>274х412х166</v>
      </c>
      <c r="N51" s="79">
        <f>VLOOKUP($B51,Данные!$A$1:$U$1009,11,FALSE)</f>
        <v>0</v>
      </c>
      <c r="O51" s="28" t="str">
        <f>VLOOKUP($B51,Данные!$A$1:$U$1009,9,FALSE)</f>
        <v>-</v>
      </c>
      <c r="P51" s="25">
        <f>VLOOKUP($B51,Данные!$A$1:$U$1009,2,FALSE)</f>
        <v>180</v>
      </c>
      <c r="Q51" s="26">
        <f>VLOOKUP($B51,Данные!$A$1:$U$1009,3,FALSE)</f>
        <v>28800</v>
      </c>
      <c r="R51" s="114">
        <f t="shared" si="22"/>
        <v>160</v>
      </c>
      <c r="S51" s="38" t="str">
        <f>VLOOKUP($B51,Данные!$A$1:$U$1009,15,FALSE)</f>
        <v>5000К</v>
      </c>
      <c r="T51" s="38">
        <f>VLOOKUP($B51,Данные!$A$1:$U$1009,7,FALSE)</f>
        <v>67</v>
      </c>
      <c r="U51" s="110" t="str">
        <f>VLOOKUP($B51,Данные!$A$1:$U$1009,16,FALSE)</f>
        <v>5 лет</v>
      </c>
      <c r="V51" s="408">
        <v>14555</v>
      </c>
    </row>
    <row r="52" spans="1:22" ht="60" customHeight="1">
      <c r="A52" s="392" t="s">
        <v>281</v>
      </c>
      <c r="B52" s="393"/>
      <c r="C52" s="393"/>
      <c r="D52" s="393"/>
      <c r="E52" s="393"/>
      <c r="F52" s="393"/>
      <c r="G52" s="393"/>
      <c r="H52" s="393"/>
      <c r="I52" s="393"/>
      <c r="J52" s="393"/>
      <c r="K52" s="393"/>
      <c r="L52" s="393"/>
      <c r="M52" s="393"/>
      <c r="N52" s="393"/>
      <c r="O52" s="393"/>
      <c r="P52" s="393"/>
      <c r="Q52" s="393"/>
      <c r="R52" s="393"/>
      <c r="S52" s="393"/>
      <c r="T52" s="393"/>
      <c r="U52" s="393"/>
      <c r="V52" s="393"/>
    </row>
  </sheetData>
  <mergeCells count="81">
    <mergeCell ref="A2:A3"/>
    <mergeCell ref="B2:B3"/>
    <mergeCell ref="D2:D3"/>
    <mergeCell ref="U2:U3"/>
    <mergeCell ref="V2:V3"/>
    <mergeCell ref="C2:C3"/>
    <mergeCell ref="A16:A17"/>
    <mergeCell ref="D16:D17"/>
    <mergeCell ref="E16:E17"/>
    <mergeCell ref="A18:A19"/>
    <mergeCell ref="D18:D19"/>
    <mergeCell ref="E18:E19"/>
    <mergeCell ref="D12:D13"/>
    <mergeCell ref="E12:E13"/>
    <mergeCell ref="A14:A15"/>
    <mergeCell ref="D14:D15"/>
    <mergeCell ref="E14:E15"/>
    <mergeCell ref="A1:V1"/>
    <mergeCell ref="E2:T2"/>
    <mergeCell ref="A52:V52"/>
    <mergeCell ref="A4:A5"/>
    <mergeCell ref="D4:D5"/>
    <mergeCell ref="E4:E5"/>
    <mergeCell ref="A6:A7"/>
    <mergeCell ref="D6:D7"/>
    <mergeCell ref="E6:E7"/>
    <mergeCell ref="A8:A9"/>
    <mergeCell ref="D8:D9"/>
    <mergeCell ref="E8:E9"/>
    <mergeCell ref="A10:A11"/>
    <mergeCell ref="D10:D11"/>
    <mergeCell ref="E10:E11"/>
    <mergeCell ref="A12:A13"/>
    <mergeCell ref="A20:A21"/>
    <mergeCell ref="D20:D21"/>
    <mergeCell ref="E20:E21"/>
    <mergeCell ref="A22:A23"/>
    <mergeCell ref="D22:D23"/>
    <mergeCell ref="E22:E23"/>
    <mergeCell ref="A24:A25"/>
    <mergeCell ref="D24:D25"/>
    <mergeCell ref="E24:E25"/>
    <mergeCell ref="A26:A27"/>
    <mergeCell ref="D26:D27"/>
    <mergeCell ref="E26:E27"/>
    <mergeCell ref="A34:A35"/>
    <mergeCell ref="D34:D35"/>
    <mergeCell ref="E34:E35"/>
    <mergeCell ref="A28:A29"/>
    <mergeCell ref="D28:D29"/>
    <mergeCell ref="E28:E29"/>
    <mergeCell ref="A30:A31"/>
    <mergeCell ref="D30:D31"/>
    <mergeCell ref="E30:E31"/>
    <mergeCell ref="A32:A33"/>
    <mergeCell ref="D32:D33"/>
    <mergeCell ref="E32:E33"/>
    <mergeCell ref="A42:A43"/>
    <mergeCell ref="D42:D43"/>
    <mergeCell ref="E42:E43"/>
    <mergeCell ref="A36:A37"/>
    <mergeCell ref="D36:D37"/>
    <mergeCell ref="E36:E37"/>
    <mergeCell ref="A38:A39"/>
    <mergeCell ref="D38:D39"/>
    <mergeCell ref="E38:E39"/>
    <mergeCell ref="A44:A45"/>
    <mergeCell ref="D44:D45"/>
    <mergeCell ref="E44:E45"/>
    <mergeCell ref="A50:A51"/>
    <mergeCell ref="D50:D51"/>
    <mergeCell ref="E50:E51"/>
    <mergeCell ref="A46:A47"/>
    <mergeCell ref="D46:D47"/>
    <mergeCell ref="E46:E47"/>
    <mergeCell ref="A48:A49"/>
    <mergeCell ref="D48:D49"/>
    <mergeCell ref="E48:E49"/>
    <mergeCell ref="A40:A41"/>
    <mergeCell ref="D40:D41"/>
    <mergeCell ref="E40:E41"/>
  </mergeCells>
  <pageMargins left="0.25" right="0.25" top="0.75" bottom="0.75" header="0.3" footer="0.3"/>
  <pageSetup paperSize="9" scale="48" fitToHeight="0" orientation="landscape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A65"/>
    <outlinePr summaryBelow="0" summaryRight="0"/>
    <pageSetUpPr fitToPage="1"/>
  </sheetPr>
  <dimension ref="A1:V43"/>
  <sheetViews>
    <sheetView view="pageBreakPreview" zoomScale="50" zoomScaleNormal="65" zoomScaleSheetLayoutView="50" workbookViewId="0">
      <pane xSplit="2" ySplit="3" topLeftCell="C4" activePane="bottomRight" state="frozen"/>
      <selection activeCell="E28" sqref="E28"/>
      <selection pane="topRight" activeCell="E28" sqref="E28"/>
      <selection pane="bottomLeft" activeCell="E28" sqref="E28"/>
      <selection pane="bottomRight" activeCell="W3" sqref="W1:Y1048576"/>
    </sheetView>
  </sheetViews>
  <sheetFormatPr defaultRowHeight="13.8" outlineLevelCol="1"/>
  <cols>
    <col min="1" max="1" width="65.6640625" customWidth="1"/>
    <col min="2" max="2" width="35.88671875" style="97" customWidth="1"/>
    <col min="3" max="3" width="21.44140625" style="97" customWidth="1"/>
    <col min="4" max="4" width="25.6640625" customWidth="1"/>
    <col min="5" max="5" width="40.6640625" customWidth="1" collapsed="1"/>
    <col min="6" max="6" width="14" hidden="1" customWidth="1" outlineLevel="1"/>
    <col min="7" max="7" width="10.88671875" hidden="1" customWidth="1" outlineLevel="1"/>
    <col min="8" max="8" width="18.44140625" hidden="1" customWidth="1" outlineLevel="1"/>
    <col min="9" max="9" width="13.109375" hidden="1" customWidth="1" outlineLevel="1"/>
    <col min="10" max="10" width="7.88671875" hidden="1" customWidth="1" outlineLevel="1"/>
    <col min="11" max="11" width="13.33203125" hidden="1" customWidth="1" outlineLevel="1"/>
    <col min="12" max="12" width="11.109375" hidden="1" customWidth="1" outlineLevel="1"/>
    <col min="13" max="13" width="15.33203125" hidden="1" customWidth="1" outlineLevel="1"/>
    <col min="14" max="14" width="12.33203125" hidden="1" customWidth="1" outlineLevel="1"/>
    <col min="15" max="15" width="12.6640625" customWidth="1"/>
    <col min="16" max="16" width="14.6640625" customWidth="1"/>
    <col min="17" max="17" width="11.109375" customWidth="1"/>
    <col min="18" max="18" width="12.6640625" style="5" customWidth="1"/>
    <col min="19" max="19" width="13.6640625" customWidth="1"/>
    <col min="20" max="20" width="12.5546875" customWidth="1"/>
    <col min="21" max="21" width="14.6640625" customWidth="1"/>
    <col min="22" max="22" width="18.109375" style="5" customWidth="1"/>
  </cols>
  <sheetData>
    <row r="1" spans="1:22" ht="30" customHeight="1">
      <c r="A1" s="395" t="s">
        <v>284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</row>
    <row r="2" spans="1:22" s="106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</row>
    <row r="3" spans="1:22" s="106" customFormat="1" ht="78.75" customHeight="1" thickBot="1">
      <c r="A3" s="359"/>
      <c r="B3" s="359"/>
      <c r="C3" s="359"/>
      <c r="D3" s="359"/>
      <c r="E3" s="115" t="s">
        <v>21</v>
      </c>
      <c r="F3" s="115" t="s">
        <v>14</v>
      </c>
      <c r="G3" s="115" t="s">
        <v>6</v>
      </c>
      <c r="H3" s="115" t="s">
        <v>7</v>
      </c>
      <c r="I3" s="115" t="s">
        <v>13</v>
      </c>
      <c r="J3" s="115" t="s">
        <v>12</v>
      </c>
      <c r="K3" s="115" t="s">
        <v>11</v>
      </c>
      <c r="L3" s="115" t="s">
        <v>9</v>
      </c>
      <c r="M3" s="115" t="s">
        <v>16</v>
      </c>
      <c r="N3" s="115" t="s">
        <v>17</v>
      </c>
      <c r="O3" s="115" t="s">
        <v>2</v>
      </c>
      <c r="P3" s="115" t="s">
        <v>34</v>
      </c>
      <c r="Q3" s="115" t="s">
        <v>37</v>
      </c>
      <c r="R3" s="115" t="s">
        <v>36</v>
      </c>
      <c r="S3" s="115" t="s">
        <v>29</v>
      </c>
      <c r="T3" s="115" t="s">
        <v>3</v>
      </c>
      <c r="U3" s="364"/>
      <c r="V3" s="405"/>
    </row>
    <row r="4" spans="1:22" s="5" customFormat="1" ht="90" customHeight="1">
      <c r="A4" s="354"/>
      <c r="B4" s="39" t="s">
        <v>266</v>
      </c>
      <c r="C4" s="198">
        <f>VLOOKUP(B4,Данные!A1:Z358,26,FALSE)</f>
        <v>3001</v>
      </c>
      <c r="D4" s="342" t="s">
        <v>286</v>
      </c>
      <c r="E4" s="344" t="str">
        <f>CONCATENATE(CONCATENATE($F$3,": ",$F4,CHAR(10),$G$3,": ",$G4,CHAR(10),$H$3,": ",$H4,CHAR(10),$I$3,": ",$I4,CHAR(10),$J$3,": ",$J4,CHAR(10),$K$3,": ",$K4,CHAR(10),$L$3,": ",$L4,CHAR(10)),"*Цветовая темп.: 5000К (по умолчанию), 3000К, 4000К (опционально)")</f>
        <v>КСС: Ш (широкая), боковая,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" s="78" t="str">
        <f>VLOOKUP($B4,Данные!$A$1:$U$1009,6,FALSE)</f>
        <v>Ш (широкая), боковая, 30*120 гр</v>
      </c>
      <c r="G4" s="78" t="str">
        <f>VLOOKUP($B4,Данные!$A$1:$U$1009,8,FALSE)</f>
        <v>Samsung LH351</v>
      </c>
      <c r="H4" s="78" t="str">
        <f>VLOOKUP($B4,Данные!$A$1:$U$1009,12,FALSE)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" s="78" t="str">
        <f>VLOOKUP($B4,Данные!$A$1:$U$1009,4,FALSE)</f>
        <v>176-264В AС</v>
      </c>
      <c r="J4" s="78">
        <f>VLOOKUP($B4,Данные!$A$1:$U$1009,5,FALSE)</f>
        <v>0.95</v>
      </c>
      <c r="K4" s="78" t="str">
        <f>VLOOKUP($B4,Данные!$A$1:$U$1009,13,FALSE)</f>
        <v xml:space="preserve"> -60°...+50° С</v>
      </c>
      <c r="L4" s="78" t="str">
        <f>VLOOKUP($B4,Данные!$A$1:$U$1009,14,FALSE)</f>
        <v>100 000 ч</v>
      </c>
      <c r="M4" s="78" t="str">
        <f>VLOOKUP($B4,Данные!$A$1:$U$1009,10,FALSE)</f>
        <v>224х103х154</v>
      </c>
      <c r="N4" s="78">
        <f>VLOOKUP($B4,Данные!$A$1:$U$1009,11,FALSE)</f>
        <v>0</v>
      </c>
      <c r="O4" s="24" t="str">
        <f>VLOOKUP($B4,Данные!$A$1:$U$1009,9,FALSE)</f>
        <v>-</v>
      </c>
      <c r="P4" s="21">
        <f>VLOOKUP($B4,Данные!$A$1:$U$1009,2,FALSE)</f>
        <v>27</v>
      </c>
      <c r="Q4" s="22">
        <f>VLOOKUP($B4,Данные!$A$1:$U$1009,3,FALSE)</f>
        <v>3915</v>
      </c>
      <c r="R4" s="113">
        <f>Q4/P4</f>
        <v>145</v>
      </c>
      <c r="S4" s="37" t="str">
        <f>VLOOKUP($B4,Данные!$A$1:$U$1009,15,FALSE)</f>
        <v>5000К 4000К* 3000К*</v>
      </c>
      <c r="T4" s="37">
        <f>VLOOKUP($B4,Данные!$A$1:$U$1009,7,FALSE)</f>
        <v>67</v>
      </c>
      <c r="U4" s="108" t="str">
        <f>VLOOKUP($B4,Данные!$A$1:$U$1009,16,FALSE)</f>
        <v>5 лет</v>
      </c>
      <c r="V4" s="406">
        <v>2635</v>
      </c>
    </row>
    <row r="5" spans="1:22" s="5" customFormat="1" ht="90" customHeight="1">
      <c r="A5" s="355"/>
      <c r="B5" s="40" t="s">
        <v>268</v>
      </c>
      <c r="C5" s="199">
        <f>VLOOKUP(B5,Данные!A2:Z359,26,FALSE)</f>
        <v>3003</v>
      </c>
      <c r="D5" s="337"/>
      <c r="E5" s="338"/>
      <c r="F5" s="81" t="str">
        <f>VLOOKUP($B5,Данные!$A$1:$U$1009,6,FALSE)</f>
        <v>Ш (широкая), боковая, 30*120 гр</v>
      </c>
      <c r="G5" s="81" t="str">
        <f>VLOOKUP($B5,Данные!$A$1:$U$1009,8,FALSE)</f>
        <v>Samsung LH351</v>
      </c>
      <c r="H5" s="81" t="str">
        <f>VLOOKUP($B5,Данные!$A$1:$U$1009,12,FALSE)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" s="81" t="str">
        <f>VLOOKUP($B5,Данные!$A$1:$U$1009,4,FALSE)</f>
        <v>176-264В AС</v>
      </c>
      <c r="J5" s="81">
        <f>VLOOKUP($B5,Данные!$A$1:$U$1009,5,FALSE)</f>
        <v>0.95</v>
      </c>
      <c r="K5" s="81" t="str">
        <f>VLOOKUP($B5,Данные!$A$1:$U$1009,13,FALSE)</f>
        <v xml:space="preserve"> -60°...+50° С</v>
      </c>
      <c r="L5" s="81" t="str">
        <f>VLOOKUP($B5,Данные!$A$1:$U$1009,14,FALSE)</f>
        <v>100 000 ч</v>
      </c>
      <c r="M5" s="81" t="str">
        <f>VLOOKUP($B5,Данные!$A$1:$U$1009,10,FALSE)</f>
        <v>374х103х154</v>
      </c>
      <c r="N5" s="81">
        <f>VLOOKUP($B5,Данные!$A$1:$U$1009,11,FALSE)</f>
        <v>0</v>
      </c>
      <c r="O5" s="32" t="str">
        <f>VLOOKUP($B5,Данные!$A$1:$U$1009,9,FALSE)</f>
        <v>-</v>
      </c>
      <c r="P5" s="29">
        <f>VLOOKUP($B5,Данные!$A$1:$U$1009,2,FALSE)</f>
        <v>53</v>
      </c>
      <c r="Q5" s="30">
        <f>VLOOKUP($B5,Данные!$A$1:$U$1009,3,FALSE)</f>
        <v>7685</v>
      </c>
      <c r="R5" s="269">
        <f t="shared" ref="R5:R15" si="0">Q5/P5</f>
        <v>145</v>
      </c>
      <c r="S5" s="36" t="str">
        <f>VLOOKUP($B5,Данные!$A$1:$U$1009,15,FALSE)</f>
        <v>5000К 4000К* 3000К*</v>
      </c>
      <c r="T5" s="36">
        <f>VLOOKUP($B5,Данные!$A$1:$U$1009,7,FALSE)</f>
        <v>67</v>
      </c>
      <c r="U5" s="109" t="str">
        <f>VLOOKUP($B5,Данные!$A$1:$U$1009,16,FALSE)</f>
        <v>5 лет</v>
      </c>
      <c r="V5" s="407">
        <v>3905</v>
      </c>
    </row>
    <row r="6" spans="1:22" s="5" customFormat="1" ht="90" customHeight="1" thickBot="1">
      <c r="A6" s="356"/>
      <c r="B6" s="41" t="s">
        <v>270</v>
      </c>
      <c r="C6" s="200">
        <f>VLOOKUP(B6,Данные!A3:Z360,26,FALSE)</f>
        <v>3005</v>
      </c>
      <c r="D6" s="343"/>
      <c r="E6" s="345"/>
      <c r="F6" s="79" t="str">
        <f>VLOOKUP($B6,Данные!$A$1:$U$1009,6,FALSE)</f>
        <v>Ш (широкая), боковая, 30*120 гр</v>
      </c>
      <c r="G6" s="79" t="str">
        <f>VLOOKUP($B6,Данные!$A$1:$U$1009,8,FALSE)</f>
        <v>Samsung LH351</v>
      </c>
      <c r="H6" s="79" t="str">
        <f>VLOOKUP($B6,Данные!$A$1:$U$1009,12,FALSE)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6" s="79" t="str">
        <f>VLOOKUP($B6,Данные!$A$1:$U$1009,4,FALSE)</f>
        <v>176-264В AС</v>
      </c>
      <c r="J6" s="79">
        <f>VLOOKUP($B6,Данные!$A$1:$U$1009,5,FALSE)</f>
        <v>0.95</v>
      </c>
      <c r="K6" s="79" t="str">
        <f>VLOOKUP($B6,Данные!$A$1:$U$1009,13,FALSE)</f>
        <v xml:space="preserve"> -60°...+50° С</v>
      </c>
      <c r="L6" s="79" t="str">
        <f>VLOOKUP($B6,Данные!$A$1:$U$1009,14,FALSE)</f>
        <v>100 000 ч</v>
      </c>
      <c r="M6" s="79" t="str">
        <f>VLOOKUP($B6,Данные!$A$1:$U$1009,10,FALSE)</f>
        <v>548х103х154</v>
      </c>
      <c r="N6" s="79">
        <f>VLOOKUP($B6,Данные!$A$1:$U$1009,11,FALSE)</f>
        <v>0</v>
      </c>
      <c r="O6" s="28" t="str">
        <f>VLOOKUP($B6,Данные!$A$1:$U$1009,9,FALSE)</f>
        <v>-</v>
      </c>
      <c r="P6" s="25">
        <f>VLOOKUP($B6,Данные!$A$1:$U$1009,2,FALSE)</f>
        <v>79</v>
      </c>
      <c r="Q6" s="26">
        <f>VLOOKUP($B6,Данные!$A$1:$U$1009,3,FALSE)</f>
        <v>11455</v>
      </c>
      <c r="R6" s="114">
        <f t="shared" si="0"/>
        <v>145</v>
      </c>
      <c r="S6" s="38" t="str">
        <f>VLOOKUP($B6,Данные!$A$1:$U$1009,15,FALSE)</f>
        <v>5000К 4000К* 3000К*</v>
      </c>
      <c r="T6" s="38">
        <f>VLOOKUP($B6,Данные!$A$1:$U$1009,7,FALSE)</f>
        <v>67</v>
      </c>
      <c r="U6" s="110" t="str">
        <f>VLOOKUP($B6,Данные!$A$1:$U$1009,16,FALSE)</f>
        <v>5 лет</v>
      </c>
      <c r="V6" s="408">
        <v>6005</v>
      </c>
    </row>
    <row r="7" spans="1:22" s="5" customFormat="1" ht="90" customHeight="1">
      <c r="A7" s="354"/>
      <c r="B7" s="39" t="s">
        <v>267</v>
      </c>
      <c r="C7" s="198">
        <f>VLOOKUP(B7,Данные!A4:Z361,26,FALSE)</f>
        <v>3002</v>
      </c>
      <c r="D7" s="342" t="s">
        <v>286</v>
      </c>
      <c r="E7" s="344" t="str">
        <f t="shared" ref="E7" si="1">CONCATENATE(CONCATENATE($F$3,": ",$F7,CHAR(10),$G$3,": ",$G7,CHAR(10),$H$3,": ",$H7,CHAR(10),$I$3,": ",$I7,CHAR(10),$J$3,": ",$J7,CHAR(10),$K$3,": ",$K7,CHAR(10),$L$3,": ",$L7,CHAR(10)),"*Цветовая темп.: 5000К (по умолчанию), 3000К, 4000К (опционально)")</f>
        <v>КСС: Ш (широкая), боковая, 45*140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7" s="78" t="str">
        <f>VLOOKUP($B7,Данные!$A$1:$U$1009,6,FALSE)</f>
        <v>Ш (широкая), боковая, 45*140 гр</v>
      </c>
      <c r="G7" s="78" t="str">
        <f>VLOOKUP($B7,Данные!$A$1:$U$1009,8,FALSE)</f>
        <v>Samsung LH351</v>
      </c>
      <c r="H7" s="78" t="str">
        <f>VLOOKUP($B7,Данные!$A$1:$U$1009,12,FALSE)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7" s="78" t="str">
        <f>VLOOKUP($B7,Данные!$A$1:$U$1009,4,FALSE)</f>
        <v>176-264В AС</v>
      </c>
      <c r="J7" s="78">
        <f>VLOOKUP($B7,Данные!$A$1:$U$1009,5,FALSE)</f>
        <v>0.95</v>
      </c>
      <c r="K7" s="78" t="str">
        <f>VLOOKUP($B7,Данные!$A$1:$U$1009,13,FALSE)</f>
        <v xml:space="preserve"> -60°...+50° С</v>
      </c>
      <c r="L7" s="78" t="str">
        <f>VLOOKUP($B7,Данные!$A$1:$U$1009,14,FALSE)</f>
        <v>100 000 ч</v>
      </c>
      <c r="M7" s="78" t="str">
        <f>VLOOKUP($B7,Данные!$A$1:$U$1009,10,FALSE)</f>
        <v>224х103х154</v>
      </c>
      <c r="N7" s="78">
        <f>VLOOKUP($B7,Данные!$A$1:$U$1009,11,FALSE)</f>
        <v>0</v>
      </c>
      <c r="O7" s="24" t="str">
        <f>VLOOKUP($B7,Данные!$A$1:$U$1009,9,FALSE)</f>
        <v>-</v>
      </c>
      <c r="P7" s="21">
        <f>VLOOKUP($B7,Данные!$A$1:$U$1009,2,FALSE)</f>
        <v>27</v>
      </c>
      <c r="Q7" s="22">
        <f>VLOOKUP($B7,Данные!$A$1:$U$1009,3,FALSE)</f>
        <v>3915</v>
      </c>
      <c r="R7" s="113">
        <f t="shared" si="0"/>
        <v>145</v>
      </c>
      <c r="S7" s="37" t="str">
        <f>VLOOKUP($B7,Данные!$A$1:$U$1009,15,FALSE)</f>
        <v>5000К 4000К* 3000К*</v>
      </c>
      <c r="T7" s="37">
        <f>VLOOKUP($B7,Данные!$A$1:$U$1009,7,FALSE)</f>
        <v>67</v>
      </c>
      <c r="U7" s="108" t="str">
        <f>VLOOKUP($B7,Данные!$A$1:$U$1009,16,FALSE)</f>
        <v>5 лет</v>
      </c>
      <c r="V7" s="406">
        <v>2635</v>
      </c>
    </row>
    <row r="8" spans="1:22" s="5" customFormat="1" ht="90" customHeight="1">
      <c r="A8" s="355"/>
      <c r="B8" s="40" t="s">
        <v>269</v>
      </c>
      <c r="C8" s="199">
        <f>VLOOKUP(B8,Данные!A5:Z362,26,FALSE)</f>
        <v>3004</v>
      </c>
      <c r="D8" s="337"/>
      <c r="E8" s="338"/>
      <c r="F8" s="81" t="str">
        <f>VLOOKUP($B8,Данные!$A$1:$U$1009,6,FALSE)</f>
        <v>Ш (широкая), боковая, 45*140 гр</v>
      </c>
      <c r="G8" s="81" t="str">
        <f>VLOOKUP($B8,Данные!$A$1:$U$1009,8,FALSE)</f>
        <v>Samsung LH351</v>
      </c>
      <c r="H8" s="81" t="str">
        <f>VLOOKUP($B8,Данные!$A$1:$U$1009,12,FALSE)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8" s="81" t="str">
        <f>VLOOKUP($B8,Данные!$A$1:$U$1009,4,FALSE)</f>
        <v>176-264В AС</v>
      </c>
      <c r="J8" s="81">
        <f>VLOOKUP($B8,Данные!$A$1:$U$1009,5,FALSE)</f>
        <v>0.95</v>
      </c>
      <c r="K8" s="81" t="str">
        <f>VLOOKUP($B8,Данные!$A$1:$U$1009,13,FALSE)</f>
        <v xml:space="preserve"> -60°...+50° С</v>
      </c>
      <c r="L8" s="81" t="str">
        <f>VLOOKUP($B8,Данные!$A$1:$U$1009,14,FALSE)</f>
        <v>100 000 ч</v>
      </c>
      <c r="M8" s="81" t="str">
        <f>VLOOKUP($B8,Данные!$A$1:$U$1009,10,FALSE)</f>
        <v>374х103х154</v>
      </c>
      <c r="N8" s="81">
        <f>VLOOKUP($B8,Данные!$A$1:$U$1009,11,FALSE)</f>
        <v>0</v>
      </c>
      <c r="O8" s="32" t="str">
        <f>VLOOKUP($B8,Данные!$A$1:$U$1009,9,FALSE)</f>
        <v>-</v>
      </c>
      <c r="P8" s="29">
        <f>VLOOKUP($B8,Данные!$A$1:$U$1009,2,FALSE)</f>
        <v>53</v>
      </c>
      <c r="Q8" s="30">
        <f>VLOOKUP($B8,Данные!$A$1:$U$1009,3,FALSE)</f>
        <v>7685</v>
      </c>
      <c r="R8" s="269">
        <f t="shared" si="0"/>
        <v>145</v>
      </c>
      <c r="S8" s="36" t="str">
        <f>VLOOKUP($B8,Данные!$A$1:$U$1009,15,FALSE)</f>
        <v>5000К 4000К* 3000К*</v>
      </c>
      <c r="T8" s="36">
        <f>VLOOKUP($B8,Данные!$A$1:$U$1009,7,FALSE)</f>
        <v>67</v>
      </c>
      <c r="U8" s="109" t="str">
        <f>VLOOKUP($B8,Данные!$A$1:$U$1009,16,FALSE)</f>
        <v>5 лет</v>
      </c>
      <c r="V8" s="407">
        <v>3905</v>
      </c>
    </row>
    <row r="9" spans="1:22" s="5" customFormat="1" ht="90" customHeight="1" thickBot="1">
      <c r="A9" s="356"/>
      <c r="B9" s="41" t="s">
        <v>271</v>
      </c>
      <c r="C9" s="200">
        <f>VLOOKUP(B9,Данные!A6:Z363,26,FALSE)</f>
        <v>3006</v>
      </c>
      <c r="D9" s="343"/>
      <c r="E9" s="345"/>
      <c r="F9" s="79" t="str">
        <f>VLOOKUP($B9,Данные!$A$1:$U$1009,6,FALSE)</f>
        <v>Ш (широкая), боковая, 45*140 гр</v>
      </c>
      <c r="G9" s="79" t="str">
        <f>VLOOKUP($B9,Данные!$A$1:$U$1009,8,FALSE)</f>
        <v>Samsung LH351</v>
      </c>
      <c r="H9" s="79" t="str">
        <f>VLOOKUP($B9,Данные!$A$1:$U$1009,12,FALSE)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9" s="79" t="str">
        <f>VLOOKUP($B9,Данные!$A$1:$U$1009,4,FALSE)</f>
        <v>176-264В AС</v>
      </c>
      <c r="J9" s="79">
        <f>VLOOKUP($B9,Данные!$A$1:$U$1009,5,FALSE)</f>
        <v>0.95</v>
      </c>
      <c r="K9" s="79" t="str">
        <f>VLOOKUP($B9,Данные!$A$1:$U$1009,13,FALSE)</f>
        <v xml:space="preserve"> -60°...+50° С</v>
      </c>
      <c r="L9" s="79" t="str">
        <f>VLOOKUP($B9,Данные!$A$1:$U$1009,14,FALSE)</f>
        <v>100 000 ч</v>
      </c>
      <c r="M9" s="79" t="str">
        <f>VLOOKUP($B9,Данные!$A$1:$U$1009,10,FALSE)</f>
        <v>548х103х154</v>
      </c>
      <c r="N9" s="79">
        <f>VLOOKUP($B9,Данные!$A$1:$U$1009,11,FALSE)</f>
        <v>0</v>
      </c>
      <c r="O9" s="28" t="str">
        <f>VLOOKUP($B9,Данные!$A$1:$U$1009,9,FALSE)</f>
        <v>-</v>
      </c>
      <c r="P9" s="25">
        <f>VLOOKUP($B9,Данные!$A$1:$U$1009,2,FALSE)</f>
        <v>79</v>
      </c>
      <c r="Q9" s="26">
        <f>VLOOKUP($B9,Данные!$A$1:$U$1009,3,FALSE)</f>
        <v>11455</v>
      </c>
      <c r="R9" s="114">
        <f t="shared" si="0"/>
        <v>145</v>
      </c>
      <c r="S9" s="38" t="str">
        <f>VLOOKUP($B9,Данные!$A$1:$U$1009,15,FALSE)</f>
        <v>5000К 4000К* 3000К*</v>
      </c>
      <c r="T9" s="38">
        <f>VLOOKUP($B9,Данные!$A$1:$U$1009,7,FALSE)</f>
        <v>67</v>
      </c>
      <c r="U9" s="110" t="str">
        <f>VLOOKUP($B9,Данные!$A$1:$U$1009,16,FALSE)</f>
        <v>5 лет</v>
      </c>
      <c r="V9" s="408">
        <v>6005</v>
      </c>
    </row>
    <row r="10" spans="1:22" s="5" customFormat="1" ht="90" customHeight="1">
      <c r="A10" s="354"/>
      <c r="B10" s="39" t="s">
        <v>272</v>
      </c>
      <c r="C10" s="198">
        <f>VLOOKUP(B10,Данные!A7:Z364,26,FALSE)</f>
        <v>3007</v>
      </c>
      <c r="D10" s="342" t="s">
        <v>286</v>
      </c>
      <c r="E10" s="344" t="str">
        <f t="shared" ref="E10" si="2">CONCATENATE(CONCATENATE($F$3,": ",$F10,CHAR(10),$G$3,": ",$G10,CHAR(10),$H$3,": ",$H10,CHAR(10),$I$3,": ",$I10,CHAR(10),$J$3,": ",$J10,CHAR(10),$K$3,": ",$K10,CHAR(10),$L$3,": ",$L10,CHAR(10)),"*Цветовая темп.: 5000К (по умолчанию), 3000К, 4000К (опционально)")</f>
        <v>КСС: Ш (широкая), боковая,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0" s="78" t="str">
        <f>VLOOKUP($B10,Данные!$A$1:$U$1009,6,FALSE)</f>
        <v>Ш (широкая), боковая, 30*120 гр</v>
      </c>
      <c r="G10" s="78" t="str">
        <f>VLOOKUP($B10,Данные!$A$1:$U$1009,8,FALSE)</f>
        <v>Samsung LH351</v>
      </c>
      <c r="H10" s="78" t="str">
        <f>VLOOKUP($B10,Данные!$A$1:$U$1009,12,FALSE)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0" s="78" t="str">
        <f>VLOOKUP($B10,Данные!$A$1:$U$1009,4,FALSE)</f>
        <v>176-264В AС</v>
      </c>
      <c r="J10" s="78">
        <f>VLOOKUP($B10,Данные!$A$1:$U$1009,5,FALSE)</f>
        <v>0.95</v>
      </c>
      <c r="K10" s="78" t="str">
        <f>VLOOKUP($B10,Данные!$A$1:$U$1009,13,FALSE)</f>
        <v xml:space="preserve"> -60°...+50° С</v>
      </c>
      <c r="L10" s="78" t="str">
        <f>VLOOKUP($B10,Данные!$A$1:$U$1009,14,FALSE)</f>
        <v>100 000 ч</v>
      </c>
      <c r="M10" s="78" t="str">
        <f>VLOOKUP($B10,Данные!$A$1:$U$1009,10,FALSE)</f>
        <v>224х100х133</v>
      </c>
      <c r="N10" s="78">
        <f>VLOOKUP($B10,Данные!$A$1:$U$1009,11,FALSE)</f>
        <v>0</v>
      </c>
      <c r="O10" s="24" t="str">
        <f>VLOOKUP($B10,Данные!$A$1:$U$1009,9,FALSE)</f>
        <v>-</v>
      </c>
      <c r="P10" s="21">
        <f>VLOOKUP($B10,Данные!$A$1:$U$1009,2,FALSE)</f>
        <v>27</v>
      </c>
      <c r="Q10" s="22">
        <f>VLOOKUP($B10,Данные!$A$1:$U$1009,3,FALSE)</f>
        <v>3915</v>
      </c>
      <c r="R10" s="113">
        <f t="shared" si="0"/>
        <v>145</v>
      </c>
      <c r="S10" s="37" t="str">
        <f>VLOOKUP($B10,Данные!$A$1:$U$1009,15,FALSE)</f>
        <v>5000К 4000К* 3000К*</v>
      </c>
      <c r="T10" s="37">
        <f>VLOOKUP($B10,Данные!$A$1:$U$1009,7,FALSE)</f>
        <v>67</v>
      </c>
      <c r="U10" s="108" t="str">
        <f>VLOOKUP($B10,Данные!$A$1:$U$1009,16,FALSE)</f>
        <v>5 лет</v>
      </c>
      <c r="V10" s="406">
        <v>2635</v>
      </c>
    </row>
    <row r="11" spans="1:22" s="5" customFormat="1" ht="90" customHeight="1">
      <c r="A11" s="355"/>
      <c r="B11" s="40" t="s">
        <v>274</v>
      </c>
      <c r="C11" s="199">
        <f>VLOOKUP(B11,Данные!A8:Z365,26,FALSE)</f>
        <v>3009</v>
      </c>
      <c r="D11" s="337"/>
      <c r="E11" s="338"/>
      <c r="F11" s="81" t="str">
        <f>VLOOKUP($B11,Данные!$A$1:$U$1009,6,FALSE)</f>
        <v>Ш (широкая), боковая, 30*120 гр</v>
      </c>
      <c r="G11" s="81" t="str">
        <f>VLOOKUP($B11,Данные!$A$1:$U$1009,8,FALSE)</f>
        <v>Samsung LH351</v>
      </c>
      <c r="H11" s="81" t="str">
        <f>VLOOKUP($B11,Данные!$A$1:$U$1009,12,FALSE)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1" s="81" t="str">
        <f>VLOOKUP($B11,Данные!$A$1:$U$1009,4,FALSE)</f>
        <v>176-264В AС</v>
      </c>
      <c r="J11" s="81">
        <f>VLOOKUP($B11,Данные!$A$1:$U$1009,5,FALSE)</f>
        <v>0.95</v>
      </c>
      <c r="K11" s="81" t="str">
        <f>VLOOKUP($B11,Данные!$A$1:$U$1009,13,FALSE)</f>
        <v xml:space="preserve"> -60°...+50° С</v>
      </c>
      <c r="L11" s="81" t="str">
        <f>VLOOKUP($B11,Данные!$A$1:$U$1009,14,FALSE)</f>
        <v>100 000 ч</v>
      </c>
      <c r="M11" s="81" t="str">
        <f>VLOOKUP($B11,Данные!$A$1:$U$1009,10,FALSE)</f>
        <v>374х100х133</v>
      </c>
      <c r="N11" s="81">
        <f>VLOOKUP($B11,Данные!$A$1:$U$1009,11,FALSE)</f>
        <v>0</v>
      </c>
      <c r="O11" s="32" t="str">
        <f>VLOOKUP($B11,Данные!$A$1:$U$1009,9,FALSE)</f>
        <v>-</v>
      </c>
      <c r="P11" s="29">
        <f>VLOOKUP($B11,Данные!$A$1:$U$1009,2,FALSE)</f>
        <v>53</v>
      </c>
      <c r="Q11" s="30">
        <f>VLOOKUP($B11,Данные!$A$1:$U$1009,3,FALSE)</f>
        <v>7685</v>
      </c>
      <c r="R11" s="269">
        <f t="shared" si="0"/>
        <v>145</v>
      </c>
      <c r="S11" s="36" t="str">
        <f>VLOOKUP($B11,Данные!$A$1:$U$1009,15,FALSE)</f>
        <v>5000К 4000К* 3000К*</v>
      </c>
      <c r="T11" s="36">
        <f>VLOOKUP($B11,Данные!$A$1:$U$1009,7,FALSE)</f>
        <v>67</v>
      </c>
      <c r="U11" s="109" t="str">
        <f>VLOOKUP($B11,Данные!$A$1:$U$1009,16,FALSE)</f>
        <v>5 лет</v>
      </c>
      <c r="V11" s="407">
        <v>3905</v>
      </c>
    </row>
    <row r="12" spans="1:22" s="5" customFormat="1" ht="90" customHeight="1" thickBot="1">
      <c r="A12" s="356"/>
      <c r="B12" s="41" t="s">
        <v>276</v>
      </c>
      <c r="C12" s="200">
        <f>VLOOKUP(B12,Данные!A9:Z366,26,FALSE)</f>
        <v>3011</v>
      </c>
      <c r="D12" s="343"/>
      <c r="E12" s="345"/>
      <c r="F12" s="79" t="str">
        <f>VLOOKUP($B12,Данные!$A$1:$U$1009,6,FALSE)</f>
        <v>Ш (широкая), боковая, 30*120 гр</v>
      </c>
      <c r="G12" s="79" t="str">
        <f>VLOOKUP($B12,Данные!$A$1:$U$1009,8,FALSE)</f>
        <v>Samsung LH351</v>
      </c>
      <c r="H12" s="79" t="str">
        <f>VLOOKUP($B12,Данные!$A$1:$U$1009,12,FALSE)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2" s="79" t="str">
        <f>VLOOKUP($B12,Данные!$A$1:$U$1009,4,FALSE)</f>
        <v>176-264В AС</v>
      </c>
      <c r="J12" s="79">
        <f>VLOOKUP($B12,Данные!$A$1:$U$1009,5,FALSE)</f>
        <v>0.95</v>
      </c>
      <c r="K12" s="79" t="str">
        <f>VLOOKUP($B12,Данные!$A$1:$U$1009,13,FALSE)</f>
        <v xml:space="preserve"> -60°...+50° С</v>
      </c>
      <c r="L12" s="79" t="str">
        <f>VLOOKUP($B12,Данные!$A$1:$U$1009,14,FALSE)</f>
        <v>100 000 ч</v>
      </c>
      <c r="M12" s="79" t="str">
        <f>VLOOKUP($B12,Данные!$A$1:$U$1009,10,FALSE)</f>
        <v>548х100х133</v>
      </c>
      <c r="N12" s="79">
        <f>VLOOKUP($B12,Данные!$A$1:$U$1009,11,FALSE)</f>
        <v>0</v>
      </c>
      <c r="O12" s="28" t="str">
        <f>VLOOKUP($B12,Данные!$A$1:$U$1009,9,FALSE)</f>
        <v>-</v>
      </c>
      <c r="P12" s="25">
        <f>VLOOKUP($B12,Данные!$A$1:$U$1009,2,FALSE)</f>
        <v>79</v>
      </c>
      <c r="Q12" s="26">
        <f>VLOOKUP($B12,Данные!$A$1:$U$1009,3,FALSE)</f>
        <v>11455</v>
      </c>
      <c r="R12" s="114">
        <f t="shared" si="0"/>
        <v>145</v>
      </c>
      <c r="S12" s="38" t="str">
        <f>VLOOKUP($B12,Данные!$A$1:$U$1009,15,FALSE)</f>
        <v>5000К 4000К* 3000К*</v>
      </c>
      <c r="T12" s="38">
        <f>VLOOKUP($B12,Данные!$A$1:$U$1009,7,FALSE)</f>
        <v>67</v>
      </c>
      <c r="U12" s="110" t="str">
        <f>VLOOKUP($B12,Данные!$A$1:$U$1009,16,FALSE)</f>
        <v>5 лет</v>
      </c>
      <c r="V12" s="408">
        <v>6005</v>
      </c>
    </row>
    <row r="13" spans="1:22" s="5" customFormat="1" ht="90" customHeight="1">
      <c r="A13" s="373"/>
      <c r="B13" s="39" t="s">
        <v>554</v>
      </c>
      <c r="C13" s="198">
        <f>VLOOKUP(B13,Данные!A7:Z364,26,FALSE)</f>
        <v>3037</v>
      </c>
      <c r="D13" s="342" t="s">
        <v>286</v>
      </c>
      <c r="E13" s="344" t="str">
        <f t="shared" ref="E13" si="3">CONCATENATE(CONCATENATE($F$3,": ",$F13,CHAR(10),$G$3,": ",$G13,CHAR(10),$H$3,": ",$H13,CHAR(10),$I$3,": ",$I13,CHAR(10),$J$3,": ",$J13,CHAR(10),$K$3,": ",$K13,CHAR(10),$L$3,": ",$L13,CHAR(10)),"*Цветовая темп.: 5000К (по умолчанию), 3000К, 4000К (опционально)")</f>
        <v>КСС: Ш (широкая), боковая, 78*136 гр
Светодиоды: Samsung LM281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3" s="327" t="str">
        <f>VLOOKUP($B13,Данные!$A$1:$U$1009,6,FALSE)</f>
        <v>Ш (широкая), боковая, 78*136 гр</v>
      </c>
      <c r="G13" s="327" t="str">
        <f>VLOOKUP($B13,Данные!$A$1:$U$1009,8,FALSE)</f>
        <v>Samsung LM281</v>
      </c>
      <c r="H13" s="327" t="str">
        <f>VLOOKUP($B13,Данные!$A$1:$U$1009,12,FALSE)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3" s="327" t="str">
        <f>VLOOKUP($B13,Данные!$A$1:$U$1009,4,FALSE)</f>
        <v>176-264В AС</v>
      </c>
      <c r="J13" s="327">
        <f>VLOOKUP($B13,Данные!$A$1:$U$1009,5,FALSE)</f>
        <v>0.95</v>
      </c>
      <c r="K13" s="327" t="str">
        <f>VLOOKUP($B13,Данные!$A$1:$U$1009,13,FALSE)</f>
        <v xml:space="preserve"> -60°...+50° С</v>
      </c>
      <c r="L13" s="327" t="str">
        <f>VLOOKUP($B13,Данные!$A$1:$U$1009,14,FALSE)</f>
        <v>100 000 ч</v>
      </c>
      <c r="M13" s="327" t="str">
        <f>VLOOKUP($B13,Данные!$A$1:$U$1009,10,FALSE)</f>
        <v>280х100х133</v>
      </c>
      <c r="N13" s="327">
        <f>VLOOKUP($B13,Данные!$A$1:$U$1009,11,FALSE)</f>
        <v>0</v>
      </c>
      <c r="O13" s="24" t="str">
        <f>VLOOKUP($B13,Данные!$A$1:$U$1009,9,FALSE)</f>
        <v>-</v>
      </c>
      <c r="P13" s="21">
        <f>VLOOKUP($B13,Данные!$A$1:$U$1009,2,FALSE)</f>
        <v>32</v>
      </c>
      <c r="Q13" s="22">
        <f>VLOOKUP($B13,Данные!$A$1:$U$1009,3,FALSE)</f>
        <v>4480</v>
      </c>
      <c r="R13" s="23">
        <f t="shared" si="0"/>
        <v>140</v>
      </c>
      <c r="S13" s="37" t="str">
        <f>VLOOKUP($B13,Данные!$A$1:$U$1009,15,FALSE)</f>
        <v>5000К 4000К* 3000К*</v>
      </c>
      <c r="T13" s="37">
        <f>VLOOKUP($B13,Данные!$A$1:$U$1009,7,FALSE)</f>
        <v>67</v>
      </c>
      <c r="U13" s="108" t="str">
        <f>VLOOKUP($B13,Данные!$A$1:$U$1009,16,FALSE)</f>
        <v>5 лет</v>
      </c>
      <c r="V13" s="406">
        <v>2860</v>
      </c>
    </row>
    <row r="14" spans="1:22" s="5" customFormat="1" ht="90" customHeight="1">
      <c r="A14" s="371"/>
      <c r="B14" s="40" t="s">
        <v>582</v>
      </c>
      <c r="C14" s="199">
        <f>VLOOKUP(B14,Данные!A8:Z365,26,FALSE)</f>
        <v>3038</v>
      </c>
      <c r="D14" s="337"/>
      <c r="E14" s="338"/>
      <c r="F14" s="325" t="str">
        <f>VLOOKUP($B14,Данные!$A$1:$U$1009,6,FALSE)</f>
        <v>Ш (широкая), боковая, 78*136 гр</v>
      </c>
      <c r="G14" s="325" t="str">
        <f>VLOOKUP($B14,Данные!$A$1:$U$1009,8,FALSE)</f>
        <v>Samsung LM281</v>
      </c>
      <c r="H14" s="325" t="str">
        <f>VLOOKUP($B14,Данные!$A$1:$U$1009,12,FALSE)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4" s="325" t="str">
        <f>VLOOKUP($B14,Данные!$A$1:$U$1009,4,FALSE)</f>
        <v>176-264В AС</v>
      </c>
      <c r="J14" s="325">
        <f>VLOOKUP($B14,Данные!$A$1:$U$1009,5,FALSE)</f>
        <v>0.95</v>
      </c>
      <c r="K14" s="325" t="str">
        <f>VLOOKUP($B14,Данные!$A$1:$U$1009,13,FALSE)</f>
        <v xml:space="preserve"> -60°...+50° С</v>
      </c>
      <c r="L14" s="325" t="str">
        <f>VLOOKUP($B14,Данные!$A$1:$U$1009,14,FALSE)</f>
        <v>100 000 ч</v>
      </c>
      <c r="M14" s="325" t="str">
        <f>VLOOKUP($B14,Данные!$A$1:$U$1009,10,FALSE)</f>
        <v>530х100х133</v>
      </c>
      <c r="N14" s="325">
        <f>VLOOKUP($B14,Данные!$A$1:$U$1009,11,FALSE)</f>
        <v>0</v>
      </c>
      <c r="O14" s="328" t="str">
        <f>VLOOKUP($B14,Данные!$A$1:$U$1009,9,FALSE)</f>
        <v>-</v>
      </c>
      <c r="P14" s="29">
        <f>VLOOKUP($B14,Данные!$A$1:$U$1009,2,FALSE)</f>
        <v>64</v>
      </c>
      <c r="Q14" s="30">
        <f>VLOOKUP($B14,Данные!$A$1:$U$1009,3,FALSE)</f>
        <v>8960</v>
      </c>
      <c r="R14" s="31">
        <f t="shared" si="0"/>
        <v>140</v>
      </c>
      <c r="S14" s="36" t="str">
        <f>VLOOKUP($B14,Данные!$A$1:$U$1009,15,FALSE)</f>
        <v>5000К 4000К* 3000К*</v>
      </c>
      <c r="T14" s="36">
        <f>VLOOKUP($B14,Данные!$A$1:$U$1009,7,FALSE)</f>
        <v>67</v>
      </c>
      <c r="U14" s="109" t="str">
        <f>VLOOKUP($B14,Данные!$A$1:$U$1009,16,FALSE)</f>
        <v>5 лет</v>
      </c>
      <c r="V14" s="407">
        <v>4145</v>
      </c>
    </row>
    <row r="15" spans="1:22" s="5" customFormat="1" ht="90" customHeight="1" thickBot="1">
      <c r="A15" s="372"/>
      <c r="B15" s="41" t="s">
        <v>555</v>
      </c>
      <c r="C15" s="200">
        <f>VLOOKUP(B15,Данные!A9:Z366,26,FALSE)</f>
        <v>3039</v>
      </c>
      <c r="D15" s="343"/>
      <c r="E15" s="345"/>
      <c r="F15" s="326" t="str">
        <f>VLOOKUP($B15,Данные!$A$1:$U$1009,6,FALSE)</f>
        <v>Ш (широкая), боковая, 78*136 гр</v>
      </c>
      <c r="G15" s="326" t="str">
        <f>VLOOKUP($B15,Данные!$A$1:$U$1009,8,FALSE)</f>
        <v>Samsung LM281</v>
      </c>
      <c r="H15" s="326" t="str">
        <f>VLOOKUP($B15,Данные!$A$1:$U$1009,12,FALSE)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5" s="326" t="str">
        <f>VLOOKUP($B15,Данные!$A$1:$U$1009,4,FALSE)</f>
        <v>176-264В AС</v>
      </c>
      <c r="J15" s="326">
        <f>VLOOKUP($B15,Данные!$A$1:$U$1009,5,FALSE)</f>
        <v>0.95</v>
      </c>
      <c r="K15" s="326" t="str">
        <f>VLOOKUP($B15,Данные!$A$1:$U$1009,13,FALSE)</f>
        <v xml:space="preserve"> -60°...+50° С</v>
      </c>
      <c r="L15" s="326" t="str">
        <f>VLOOKUP($B15,Данные!$A$1:$U$1009,14,FALSE)</f>
        <v>100 000 ч</v>
      </c>
      <c r="M15" s="326" t="str">
        <f>VLOOKUP($B15,Данные!$A$1:$U$1009,10,FALSE)</f>
        <v>790х100х133</v>
      </c>
      <c r="N15" s="326">
        <f>VLOOKUP($B15,Данные!$A$1:$U$1009,11,FALSE)</f>
        <v>0</v>
      </c>
      <c r="O15" s="329" t="str">
        <f>VLOOKUP($B15,Данные!$A$1:$U$1009,9,FALSE)</f>
        <v>-</v>
      </c>
      <c r="P15" s="25">
        <f>VLOOKUP($B15,Данные!$A$1:$U$1009,2,FALSE)</f>
        <v>96</v>
      </c>
      <c r="Q15" s="26">
        <f>VLOOKUP($B15,Данные!$A$1:$U$1009,3,FALSE)</f>
        <v>13440</v>
      </c>
      <c r="R15" s="27">
        <f t="shared" si="0"/>
        <v>140</v>
      </c>
      <c r="S15" s="38" t="str">
        <f>VLOOKUP($B15,Данные!$A$1:$U$1009,15,FALSE)</f>
        <v>5000К 4000К* 3000К*</v>
      </c>
      <c r="T15" s="38">
        <f>VLOOKUP($B15,Данные!$A$1:$U$1009,7,FALSE)</f>
        <v>67</v>
      </c>
      <c r="U15" s="110" t="str">
        <f>VLOOKUP($B15,Данные!$A$1:$U$1009,16,FALSE)</f>
        <v>5 лет</v>
      </c>
      <c r="V15" s="408">
        <v>6365</v>
      </c>
    </row>
    <row r="16" spans="1:22" s="5" customFormat="1" ht="90" customHeight="1">
      <c r="A16" s="354"/>
      <c r="B16" s="39" t="s">
        <v>273</v>
      </c>
      <c r="C16" s="198">
        <f>VLOOKUP(B16,Данные!A10:Z367,26,FALSE)</f>
        <v>3008</v>
      </c>
      <c r="D16" s="342" t="s">
        <v>286</v>
      </c>
      <c r="E16" s="344" t="str">
        <f t="shared" ref="E16" si="4">CONCATENATE(CONCATENATE($F$3,": ",$F16,CHAR(10),$G$3,": ",$G16,CHAR(10),$H$3,": ",$H16,CHAR(10),$I$3,": ",$I16,CHAR(10),$J$3,": ",$J16,CHAR(10),$K$3,": ",$K16,CHAR(10),$L$3,": ",$L16,CHAR(10)),"*Цветовая темп.: 5000К (по умолчанию), 3000К, 4000К (опционально)")</f>
        <v>КСС: Ш (широкая), боковая, 45*140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6" s="119" t="str">
        <f>VLOOKUP($B16,Данные!$A$1:$U$1009,6,FALSE)</f>
        <v>Ш (широкая), боковая, 45*140 гр</v>
      </c>
      <c r="G16" s="119" t="str">
        <f>VLOOKUP($B16,Данные!$A$1:$U$1009,8,FALSE)</f>
        <v>Samsung LH351</v>
      </c>
      <c r="H16" s="119" t="str">
        <f>VLOOKUP($B16,Данные!$A$1:$U$1009,12,FALSE)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6" s="119" t="str">
        <f>VLOOKUP($B16,Данные!$A$1:$U$1009,4,FALSE)</f>
        <v>176-264В AС</v>
      </c>
      <c r="J16" s="119">
        <f>VLOOKUP($B16,Данные!$A$1:$U$1009,5,FALSE)</f>
        <v>0.95</v>
      </c>
      <c r="K16" s="119" t="str">
        <f>VLOOKUP($B16,Данные!$A$1:$U$1009,13,FALSE)</f>
        <v xml:space="preserve"> -60°...+50° С</v>
      </c>
      <c r="L16" s="119" t="str">
        <f>VLOOKUP($B16,Данные!$A$1:$U$1009,14,FALSE)</f>
        <v>100 000 ч</v>
      </c>
      <c r="M16" s="119" t="str">
        <f>VLOOKUP($B16,Данные!$A$1:$U$1009,10,FALSE)</f>
        <v>224х100х133</v>
      </c>
      <c r="N16" s="119">
        <f>VLOOKUP($B16,Данные!$A$1:$U$1009,11,FALSE)</f>
        <v>0</v>
      </c>
      <c r="O16" s="24" t="str">
        <f>VLOOKUP($B16,Данные!$A$1:$U$1009,9,FALSE)</f>
        <v>-</v>
      </c>
      <c r="P16" s="21">
        <f>VLOOKUP($B16,Данные!$A$1:$U$1009,2,FALSE)</f>
        <v>27</v>
      </c>
      <c r="Q16" s="22">
        <f>VLOOKUP($B16,Данные!$A$1:$U$1009,3,FALSE)</f>
        <v>3915</v>
      </c>
      <c r="R16" s="113">
        <f t="shared" ref="R16:R42" si="5">Q16/P16</f>
        <v>145</v>
      </c>
      <c r="S16" s="37" t="str">
        <f>VLOOKUP($B16,Данные!$A$1:$U$1009,15,FALSE)</f>
        <v>5000К 4000К* 3000К*</v>
      </c>
      <c r="T16" s="37">
        <f>VLOOKUP($B16,Данные!$A$1:$U$1009,7,FALSE)</f>
        <v>67</v>
      </c>
      <c r="U16" s="108" t="str">
        <f>VLOOKUP($B16,Данные!$A$1:$U$1009,16,FALSE)</f>
        <v>5 лет</v>
      </c>
      <c r="V16" s="406">
        <v>2635</v>
      </c>
    </row>
    <row r="17" spans="1:22" s="5" customFormat="1" ht="90" customHeight="1">
      <c r="A17" s="355"/>
      <c r="B17" s="40" t="s">
        <v>275</v>
      </c>
      <c r="C17" s="199">
        <f>VLOOKUP(B17,Данные!A11:Z368,26,FALSE)</f>
        <v>3010</v>
      </c>
      <c r="D17" s="337"/>
      <c r="E17" s="338"/>
      <c r="F17" s="122" t="str">
        <f>VLOOKUP($B17,Данные!$A$1:$U$1009,6,FALSE)</f>
        <v>Ш (широкая), боковая, 45*140 гр</v>
      </c>
      <c r="G17" s="122" t="str">
        <f>VLOOKUP($B17,Данные!$A$1:$U$1009,8,FALSE)</f>
        <v>Samsung LH351</v>
      </c>
      <c r="H17" s="122" t="str">
        <f>VLOOKUP($B17,Данные!$A$1:$U$1009,12,FALSE)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7" s="122" t="str">
        <f>VLOOKUP($B17,Данные!$A$1:$U$1009,4,FALSE)</f>
        <v>176-264В AС</v>
      </c>
      <c r="J17" s="122">
        <f>VLOOKUP($B17,Данные!$A$1:$U$1009,5,FALSE)</f>
        <v>0.95</v>
      </c>
      <c r="K17" s="122" t="str">
        <f>VLOOKUP($B17,Данные!$A$1:$U$1009,13,FALSE)</f>
        <v xml:space="preserve"> -60°...+50° С</v>
      </c>
      <c r="L17" s="122" t="str">
        <f>VLOOKUP($B17,Данные!$A$1:$U$1009,14,FALSE)</f>
        <v>100 000 ч</v>
      </c>
      <c r="M17" s="122" t="str">
        <f>VLOOKUP($B17,Данные!$A$1:$U$1009,10,FALSE)</f>
        <v>374х100х133</v>
      </c>
      <c r="N17" s="122">
        <f>VLOOKUP($B17,Данные!$A$1:$U$1009,11,FALSE)</f>
        <v>0</v>
      </c>
      <c r="O17" s="32" t="str">
        <f>VLOOKUP($B17,Данные!$A$1:$U$1009,9,FALSE)</f>
        <v>-</v>
      </c>
      <c r="P17" s="29">
        <f>VLOOKUP($B17,Данные!$A$1:$U$1009,2,FALSE)</f>
        <v>53</v>
      </c>
      <c r="Q17" s="30">
        <f>VLOOKUP($B17,Данные!$A$1:$U$1009,3,FALSE)</f>
        <v>7685</v>
      </c>
      <c r="R17" s="269">
        <f t="shared" si="5"/>
        <v>145</v>
      </c>
      <c r="S17" s="36" t="str">
        <f>VLOOKUP($B17,Данные!$A$1:$U$1009,15,FALSE)</f>
        <v>5000К 4000К* 3000К*</v>
      </c>
      <c r="T17" s="36">
        <f>VLOOKUP($B17,Данные!$A$1:$U$1009,7,FALSE)</f>
        <v>67</v>
      </c>
      <c r="U17" s="109" t="str">
        <f>VLOOKUP($B17,Данные!$A$1:$U$1009,16,FALSE)</f>
        <v>5 лет</v>
      </c>
      <c r="V17" s="407">
        <v>3905</v>
      </c>
    </row>
    <row r="18" spans="1:22" s="5" customFormat="1" ht="90" customHeight="1" thickBot="1">
      <c r="A18" s="356"/>
      <c r="B18" s="41" t="s">
        <v>277</v>
      </c>
      <c r="C18" s="200">
        <f>VLOOKUP(B18,Данные!A12:Z369,26,FALSE)</f>
        <v>3012</v>
      </c>
      <c r="D18" s="343"/>
      <c r="E18" s="345"/>
      <c r="F18" s="120" t="str">
        <f>VLOOKUP($B18,Данные!$A$1:$U$1009,6,FALSE)</f>
        <v>Ш (широкая), боковая, 45*140 гр</v>
      </c>
      <c r="G18" s="120" t="str">
        <f>VLOOKUP($B18,Данные!$A$1:$U$1009,8,FALSE)</f>
        <v>Samsung LH351</v>
      </c>
      <c r="H18" s="120" t="str">
        <f>VLOOKUP($B18,Данные!$A$1:$U$1009,12,FALSE)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8" s="120" t="str">
        <f>VLOOKUP($B18,Данные!$A$1:$U$1009,4,FALSE)</f>
        <v>176-264В AС</v>
      </c>
      <c r="J18" s="120">
        <f>VLOOKUP($B18,Данные!$A$1:$U$1009,5,FALSE)</f>
        <v>0.95</v>
      </c>
      <c r="K18" s="120" t="str">
        <f>VLOOKUP($B18,Данные!$A$1:$U$1009,13,FALSE)</f>
        <v xml:space="preserve"> -60°...+50° С</v>
      </c>
      <c r="L18" s="120" t="str">
        <f>VLOOKUP($B18,Данные!$A$1:$U$1009,14,FALSE)</f>
        <v>100 000 ч</v>
      </c>
      <c r="M18" s="120" t="str">
        <f>VLOOKUP($B18,Данные!$A$1:$U$1009,10,FALSE)</f>
        <v>548х100х133</v>
      </c>
      <c r="N18" s="120">
        <f>VLOOKUP($B18,Данные!$A$1:$U$1009,11,FALSE)</f>
        <v>0</v>
      </c>
      <c r="O18" s="28" t="str">
        <f>VLOOKUP($B18,Данные!$A$1:$U$1009,9,FALSE)</f>
        <v>-</v>
      </c>
      <c r="P18" s="25">
        <f>VLOOKUP($B18,Данные!$A$1:$U$1009,2,FALSE)</f>
        <v>79</v>
      </c>
      <c r="Q18" s="26">
        <f>VLOOKUP($B18,Данные!$A$1:$U$1009,3,FALSE)</f>
        <v>11455</v>
      </c>
      <c r="R18" s="114">
        <f t="shared" si="5"/>
        <v>145</v>
      </c>
      <c r="S18" s="38" t="str">
        <f>VLOOKUP($B18,Данные!$A$1:$U$1009,15,FALSE)</f>
        <v>5000К 4000К* 3000К*</v>
      </c>
      <c r="T18" s="38">
        <f>VLOOKUP($B18,Данные!$A$1:$U$1009,7,FALSE)</f>
        <v>67</v>
      </c>
      <c r="U18" s="110" t="str">
        <f>VLOOKUP($B18,Данные!$A$1:$U$1009,16,FALSE)</f>
        <v>5 лет</v>
      </c>
      <c r="V18" s="408">
        <v>6005</v>
      </c>
    </row>
    <row r="19" spans="1:22" s="9" customFormat="1" ht="90" customHeight="1">
      <c r="A19" s="373"/>
      <c r="B19" s="128" t="s">
        <v>296</v>
      </c>
      <c r="C19" s="201">
        <f>VLOOKUP(B19,Данные!A13:Z370,26,FALSE)</f>
        <v>3013</v>
      </c>
      <c r="D19" s="342" t="s">
        <v>286</v>
      </c>
      <c r="E19" s="389" t="str">
        <f t="shared" ref="E19" si="6">CONCATENATE(CONCATENATE($F$3,": ",$F19,CHAR(10),$G$3,": ",$G19,CHAR(10),$H$3,": ",$H19,CHAR(10),$I$3,": ",$I19,CHAR(10),$J$3,": ",$J19,CHAR(10),$K$3,": ",$K19,CHAR(10),$L$3,": ",$L19,CHAR(10)),"*Цветовая темп.: 5000К (по умолчанию), 3000К, 4000К (опционально)")</f>
        <v>КСС: Ш (широкая), боковая,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19" s="123" t="str">
        <f>VLOOKUP($B19,Данные!$A$1:$U$1009,6,FALSE)</f>
        <v>Ш (широкая), боковая, 30*120 гр</v>
      </c>
      <c r="G19" s="123" t="str">
        <f>VLOOKUP($B19,Данные!$A$1:$U$1009,8,FALSE)</f>
        <v>Samsung LH351</v>
      </c>
      <c r="H19" s="123" t="str">
        <f>VLOOKUP($B19,Данные!$A$1:$U$1009,12,FALSE)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19" s="123" t="str">
        <f>VLOOKUP($B19,Данные!$A$1:$U$1009,4,FALSE)</f>
        <v>176-264В AС</v>
      </c>
      <c r="J19" s="123">
        <f>VLOOKUP($B19,Данные!$A$1:$U$1009,5,FALSE)</f>
        <v>0.95</v>
      </c>
      <c r="K19" s="123" t="str">
        <f>VLOOKUP($B19,Данные!$A$1:$U$1009,13,FALSE)</f>
        <v xml:space="preserve"> -60°...+50° С</v>
      </c>
      <c r="L19" s="123" t="str">
        <f>VLOOKUP($B19,Данные!$A$1:$U$1009,14,FALSE)</f>
        <v>100 000 ч</v>
      </c>
      <c r="M19" s="123" t="str">
        <f>VLOOKUP($B19,Данные!$A$1:$U$1009,10,FALSE)</f>
        <v>224х210х154</v>
      </c>
      <c r="N19" s="123">
        <f>VLOOKUP($B19,Данные!$A$1:$U$1009,11,FALSE)</f>
        <v>0</v>
      </c>
      <c r="O19" s="125" t="str">
        <f>VLOOKUP($B19,Данные!$A$1:$U$1009,9,FALSE)</f>
        <v>-</v>
      </c>
      <c r="P19" s="33">
        <f>VLOOKUP($B19,Данные!$A$1:$U$1009,2,FALSE)</f>
        <v>54</v>
      </c>
      <c r="Q19" s="117">
        <f>VLOOKUP($B19,Данные!$A$1:$U$1009,3,FALSE)</f>
        <v>7830</v>
      </c>
      <c r="R19" s="100">
        <f t="shared" ref="R19:R21" si="7">Q19/P19</f>
        <v>145</v>
      </c>
      <c r="S19" s="88" t="str">
        <f>VLOOKUP($B19,Данные!$A$1:$U$1009,15,FALSE)</f>
        <v>5000К 4000К* 3000К*</v>
      </c>
      <c r="T19" s="88">
        <f>VLOOKUP($B19,Данные!$A$1:$U$1009,7,FALSE)</f>
        <v>67</v>
      </c>
      <c r="U19" s="103" t="str">
        <f>VLOOKUP($B19,Данные!$A$1:$U$1009,16,FALSE)</f>
        <v>5 лет</v>
      </c>
      <c r="V19" s="406">
        <v>5260</v>
      </c>
    </row>
    <row r="20" spans="1:22" s="9" customFormat="1" ht="90" customHeight="1">
      <c r="A20" s="371"/>
      <c r="B20" s="129" t="s">
        <v>297</v>
      </c>
      <c r="C20" s="202">
        <f>VLOOKUP(B20,Данные!A14:Z371,26,FALSE)</f>
        <v>3014</v>
      </c>
      <c r="D20" s="337"/>
      <c r="E20" s="398"/>
      <c r="F20" s="35" t="str">
        <f>VLOOKUP($B20,Данные!$A$1:$U$1009,6,FALSE)</f>
        <v>Ш (широкая), боковая, 30*120 гр</v>
      </c>
      <c r="G20" s="35" t="str">
        <f>VLOOKUP($B20,Данные!$A$1:$U$1009,8,FALSE)</f>
        <v>Samsung LH351</v>
      </c>
      <c r="H20" s="35" t="str">
        <f>VLOOKUP($B20,Данные!$A$1:$U$1009,12,FALSE)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0" s="35" t="str">
        <f>VLOOKUP($B20,Данные!$A$1:$U$1009,4,FALSE)</f>
        <v>176-264В AС</v>
      </c>
      <c r="J20" s="35">
        <f>VLOOKUP($B20,Данные!$A$1:$U$1009,5,FALSE)</f>
        <v>0.95</v>
      </c>
      <c r="K20" s="35" t="str">
        <f>VLOOKUP($B20,Данные!$A$1:$U$1009,13,FALSE)</f>
        <v xml:space="preserve"> -60°...+50° С</v>
      </c>
      <c r="L20" s="35" t="str">
        <f>VLOOKUP($B20,Данные!$A$1:$U$1009,14,FALSE)</f>
        <v>100 000 ч</v>
      </c>
      <c r="M20" s="35" t="str">
        <f>VLOOKUP($B20,Данные!$A$1:$U$1009,10,FALSE)</f>
        <v>374х210х154</v>
      </c>
      <c r="N20" s="35">
        <f>VLOOKUP($B20,Данные!$A$1:$U$1009,11,FALSE)</f>
        <v>0</v>
      </c>
      <c r="O20" s="126" t="str">
        <f>VLOOKUP($B20,Данные!$A$1:$U$1009,9,FALSE)</f>
        <v>-</v>
      </c>
      <c r="P20" s="34">
        <f>VLOOKUP($B20,Данные!$A$1:$U$1009,2,FALSE)</f>
        <v>106</v>
      </c>
      <c r="Q20" s="121">
        <f>VLOOKUP($B20,Данные!$A$1:$U$1009,3,FALSE)</f>
        <v>15370</v>
      </c>
      <c r="R20" s="101">
        <f t="shared" si="7"/>
        <v>145</v>
      </c>
      <c r="S20" s="89" t="str">
        <f>VLOOKUP($B20,Данные!$A$1:$U$1009,15,FALSE)</f>
        <v>5000К 4000К* 3000К*</v>
      </c>
      <c r="T20" s="89">
        <f>VLOOKUP($B20,Данные!$A$1:$U$1009,7,FALSE)</f>
        <v>67</v>
      </c>
      <c r="U20" s="104" t="str">
        <f>VLOOKUP($B20,Данные!$A$1:$U$1009,16,FALSE)</f>
        <v>5 лет</v>
      </c>
      <c r="V20" s="407">
        <v>7805</v>
      </c>
    </row>
    <row r="21" spans="1:22" s="9" customFormat="1" ht="90" customHeight="1" thickBot="1">
      <c r="A21" s="372"/>
      <c r="B21" s="130" t="s">
        <v>298</v>
      </c>
      <c r="C21" s="203">
        <f>VLOOKUP(B21,Данные!A15:Z372,26,FALSE)</f>
        <v>3015</v>
      </c>
      <c r="D21" s="343"/>
      <c r="E21" s="390"/>
      <c r="F21" s="124" t="str">
        <f>VLOOKUP($B21,Данные!$A$1:$U$1009,6,FALSE)</f>
        <v>Ш (широкая), боковая, 30*120 гр</v>
      </c>
      <c r="G21" s="124" t="str">
        <f>VLOOKUP($B21,Данные!$A$1:$U$1009,8,FALSE)</f>
        <v>Samsung LH351</v>
      </c>
      <c r="H21" s="124" t="str">
        <f>VLOOKUP($B21,Данные!$A$1:$U$1009,12,FALSE)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1" s="124" t="str">
        <f>VLOOKUP($B21,Данные!$A$1:$U$1009,4,FALSE)</f>
        <v>176-264В AС</v>
      </c>
      <c r="J21" s="124">
        <f>VLOOKUP($B21,Данные!$A$1:$U$1009,5,FALSE)</f>
        <v>0.95</v>
      </c>
      <c r="K21" s="124" t="str">
        <f>VLOOKUP($B21,Данные!$A$1:$U$1009,13,FALSE)</f>
        <v xml:space="preserve"> -60°...+50° С</v>
      </c>
      <c r="L21" s="124" t="str">
        <f>VLOOKUP($B21,Данные!$A$1:$U$1009,14,FALSE)</f>
        <v>100 000 ч</v>
      </c>
      <c r="M21" s="124" t="str">
        <f>VLOOKUP($B21,Данные!$A$1:$U$1009,10,FALSE)</f>
        <v>548х210х154</v>
      </c>
      <c r="N21" s="124">
        <f>VLOOKUP($B21,Данные!$A$1:$U$1009,11,FALSE)</f>
        <v>0</v>
      </c>
      <c r="O21" s="127" t="str">
        <f>VLOOKUP($B21,Данные!$A$1:$U$1009,9,FALSE)</f>
        <v>-</v>
      </c>
      <c r="P21" s="74">
        <f>VLOOKUP($B21,Данные!$A$1:$U$1009,2,FALSE)</f>
        <v>158</v>
      </c>
      <c r="Q21" s="118">
        <f>VLOOKUP($B21,Данные!$A$1:$U$1009,3,FALSE)</f>
        <v>22910</v>
      </c>
      <c r="R21" s="102">
        <f t="shared" si="7"/>
        <v>145</v>
      </c>
      <c r="S21" s="90" t="str">
        <f>VLOOKUP($B21,Данные!$A$1:$U$1009,15,FALSE)</f>
        <v>5000К 4000К* 3000К*</v>
      </c>
      <c r="T21" s="90">
        <f>VLOOKUP($B21,Данные!$A$1:$U$1009,7,FALSE)</f>
        <v>67</v>
      </c>
      <c r="U21" s="105" t="str">
        <f>VLOOKUP($B21,Данные!$A$1:$U$1009,16,FALSE)</f>
        <v>5 лет</v>
      </c>
      <c r="V21" s="408">
        <v>12005</v>
      </c>
    </row>
    <row r="22" spans="1:22" s="9" customFormat="1" ht="90" customHeight="1">
      <c r="A22" s="373"/>
      <c r="B22" s="128" t="s">
        <v>299</v>
      </c>
      <c r="C22" s="201">
        <f>VLOOKUP(B22,Данные!A16:Z373,26,FALSE)</f>
        <v>3016</v>
      </c>
      <c r="D22" s="342" t="s">
        <v>286</v>
      </c>
      <c r="E22" s="389" t="str">
        <f t="shared" ref="E22" si="8">CONCATENATE(CONCATENATE($F$3,": ",$F22,CHAR(10),$G$3,": ",$G22,CHAR(10),$H$3,": ",$H22,CHAR(10),$I$3,": ",$I22,CHAR(10),$J$3,": ",$J22,CHAR(10),$K$3,": ",$K22,CHAR(10),$L$3,": ",$L22,CHAR(10)),"*Цветовая темп.: 5000К (по умолчанию), 3000К, 4000К (опционально)")</f>
        <v>КСС: Ш (широкая), боковая, 45*140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2" s="123" t="str">
        <f>VLOOKUP($B22,Данные!$A$1:$U$1009,6,FALSE)</f>
        <v>Ш (широкая), боковая, 45*140 гр</v>
      </c>
      <c r="G22" s="123" t="str">
        <f>VLOOKUP($B22,Данные!$A$1:$U$1009,8,FALSE)</f>
        <v>Samsung LH351</v>
      </c>
      <c r="H22" s="123" t="str">
        <f>VLOOKUP($B22,Данные!$A$1:$U$1009,12,FALSE)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2" s="123" t="str">
        <f>VLOOKUP($B22,Данные!$A$1:$U$1009,4,FALSE)</f>
        <v>176-264В AС</v>
      </c>
      <c r="J22" s="123">
        <f>VLOOKUP($B22,Данные!$A$1:$U$1009,5,FALSE)</f>
        <v>0.95</v>
      </c>
      <c r="K22" s="123" t="str">
        <f>VLOOKUP($B22,Данные!$A$1:$U$1009,13,FALSE)</f>
        <v xml:space="preserve"> -60°...+50° С</v>
      </c>
      <c r="L22" s="123" t="str">
        <f>VLOOKUP($B22,Данные!$A$1:$U$1009,14,FALSE)</f>
        <v>100 000 ч</v>
      </c>
      <c r="M22" s="123" t="str">
        <f>VLOOKUP($B22,Данные!$A$1:$U$1009,10,FALSE)</f>
        <v>224х210х154</v>
      </c>
      <c r="N22" s="123">
        <f>VLOOKUP($B22,Данные!$A$1:$U$1009,11,FALSE)</f>
        <v>0</v>
      </c>
      <c r="O22" s="125" t="str">
        <f>VLOOKUP($B22,Данные!$A$1:$U$1009,9,FALSE)</f>
        <v>-</v>
      </c>
      <c r="P22" s="33">
        <f>VLOOKUP($B22,Данные!$A$1:$U$1009,2,FALSE)</f>
        <v>54</v>
      </c>
      <c r="Q22" s="117">
        <f>VLOOKUP($B22,Данные!$A$1:$U$1009,3,FALSE)</f>
        <v>7830</v>
      </c>
      <c r="R22" s="100">
        <f t="shared" si="5"/>
        <v>145</v>
      </c>
      <c r="S22" s="88" t="str">
        <f>VLOOKUP($B22,Данные!$A$1:$U$1009,15,FALSE)</f>
        <v>5000К 4000К* 3000К*</v>
      </c>
      <c r="T22" s="88">
        <f>VLOOKUP($B22,Данные!$A$1:$U$1009,7,FALSE)</f>
        <v>67</v>
      </c>
      <c r="U22" s="103" t="str">
        <f>VLOOKUP($B22,Данные!$A$1:$U$1009,16,FALSE)</f>
        <v>5 лет</v>
      </c>
      <c r="V22" s="406">
        <v>5260</v>
      </c>
    </row>
    <row r="23" spans="1:22" s="9" customFormat="1" ht="90" customHeight="1">
      <c r="A23" s="371"/>
      <c r="B23" s="129" t="s">
        <v>300</v>
      </c>
      <c r="C23" s="202">
        <f>VLOOKUP(B23,Данные!A17:Z374,26,FALSE)</f>
        <v>3017</v>
      </c>
      <c r="D23" s="337"/>
      <c r="E23" s="398"/>
      <c r="F23" s="35" t="str">
        <f>VLOOKUP($B23,Данные!$A$1:$U$1009,6,FALSE)</f>
        <v>Ш (широкая), боковая, 45*140 гр</v>
      </c>
      <c r="G23" s="35" t="str">
        <f>VLOOKUP($B23,Данные!$A$1:$U$1009,8,FALSE)</f>
        <v>Samsung LH351</v>
      </c>
      <c r="H23" s="35" t="str">
        <f>VLOOKUP($B23,Данные!$A$1:$U$1009,12,FALSE)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3" s="35" t="str">
        <f>VLOOKUP($B23,Данные!$A$1:$U$1009,4,FALSE)</f>
        <v>176-264В AС</v>
      </c>
      <c r="J23" s="35">
        <f>VLOOKUP($B23,Данные!$A$1:$U$1009,5,FALSE)</f>
        <v>0.95</v>
      </c>
      <c r="K23" s="35" t="str">
        <f>VLOOKUP($B23,Данные!$A$1:$U$1009,13,FALSE)</f>
        <v xml:space="preserve"> -60°...+50° С</v>
      </c>
      <c r="L23" s="35" t="str">
        <f>VLOOKUP($B23,Данные!$A$1:$U$1009,14,FALSE)</f>
        <v>100 000 ч</v>
      </c>
      <c r="M23" s="35" t="str">
        <f>VLOOKUP($B23,Данные!$A$1:$U$1009,10,FALSE)</f>
        <v>374х210х154</v>
      </c>
      <c r="N23" s="35">
        <f>VLOOKUP($B23,Данные!$A$1:$U$1009,11,FALSE)</f>
        <v>0</v>
      </c>
      <c r="O23" s="126" t="str">
        <f>VLOOKUP($B23,Данные!$A$1:$U$1009,9,FALSE)</f>
        <v>-</v>
      </c>
      <c r="P23" s="34">
        <f>VLOOKUP($B23,Данные!$A$1:$U$1009,2,FALSE)</f>
        <v>106</v>
      </c>
      <c r="Q23" s="121">
        <f>VLOOKUP($B23,Данные!$A$1:$U$1009,3,FALSE)</f>
        <v>15370</v>
      </c>
      <c r="R23" s="101">
        <f t="shared" si="5"/>
        <v>145</v>
      </c>
      <c r="S23" s="89" t="str">
        <f>VLOOKUP($B23,Данные!$A$1:$U$1009,15,FALSE)</f>
        <v>5000К 4000К* 3000К*</v>
      </c>
      <c r="T23" s="89">
        <f>VLOOKUP($B23,Данные!$A$1:$U$1009,7,FALSE)</f>
        <v>67</v>
      </c>
      <c r="U23" s="104" t="str">
        <f>VLOOKUP($B23,Данные!$A$1:$U$1009,16,FALSE)</f>
        <v>5 лет</v>
      </c>
      <c r="V23" s="407">
        <v>7805</v>
      </c>
    </row>
    <row r="24" spans="1:22" s="9" customFormat="1" ht="90" customHeight="1" thickBot="1">
      <c r="A24" s="372"/>
      <c r="B24" s="130" t="s">
        <v>301</v>
      </c>
      <c r="C24" s="203">
        <f>VLOOKUP(B24,Данные!A18:Z375,26,FALSE)</f>
        <v>3018</v>
      </c>
      <c r="D24" s="343"/>
      <c r="E24" s="390"/>
      <c r="F24" s="124" t="str">
        <f>VLOOKUP($B24,Данные!$A$1:$U$1009,6,FALSE)</f>
        <v>Ш (широкая), боковая, 45*140 гр</v>
      </c>
      <c r="G24" s="124" t="str">
        <f>VLOOKUP($B24,Данные!$A$1:$U$1009,8,FALSE)</f>
        <v>Samsung LH351</v>
      </c>
      <c r="H24" s="124" t="str">
        <f>VLOOKUP($B24,Данные!$A$1:$U$1009,12,FALSE)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4" s="124" t="str">
        <f>VLOOKUP($B24,Данные!$A$1:$U$1009,4,FALSE)</f>
        <v>176-264В AС</v>
      </c>
      <c r="J24" s="124">
        <f>VLOOKUP($B24,Данные!$A$1:$U$1009,5,FALSE)</f>
        <v>0.95</v>
      </c>
      <c r="K24" s="124" t="str">
        <f>VLOOKUP($B24,Данные!$A$1:$U$1009,13,FALSE)</f>
        <v xml:space="preserve"> -60°...+50° С</v>
      </c>
      <c r="L24" s="124" t="str">
        <f>VLOOKUP($B24,Данные!$A$1:$U$1009,14,FALSE)</f>
        <v>100 000 ч</v>
      </c>
      <c r="M24" s="124" t="str">
        <f>VLOOKUP($B24,Данные!$A$1:$U$1009,10,FALSE)</f>
        <v>548х210х154</v>
      </c>
      <c r="N24" s="124">
        <f>VLOOKUP($B24,Данные!$A$1:$U$1009,11,FALSE)</f>
        <v>0</v>
      </c>
      <c r="O24" s="127" t="str">
        <f>VLOOKUP($B24,Данные!$A$1:$U$1009,9,FALSE)</f>
        <v>-</v>
      </c>
      <c r="P24" s="74">
        <f>VLOOKUP($B24,Данные!$A$1:$U$1009,2,FALSE)</f>
        <v>158</v>
      </c>
      <c r="Q24" s="118">
        <f>VLOOKUP($B24,Данные!$A$1:$U$1009,3,FALSE)</f>
        <v>22910</v>
      </c>
      <c r="R24" s="102">
        <f t="shared" si="5"/>
        <v>145</v>
      </c>
      <c r="S24" s="90" t="str">
        <f>VLOOKUP($B24,Данные!$A$1:$U$1009,15,FALSE)</f>
        <v>5000К 4000К* 3000К*</v>
      </c>
      <c r="T24" s="90">
        <f>VLOOKUP($B24,Данные!$A$1:$U$1009,7,FALSE)</f>
        <v>67</v>
      </c>
      <c r="U24" s="105" t="str">
        <f>VLOOKUP($B24,Данные!$A$1:$U$1009,16,FALSE)</f>
        <v>5 лет</v>
      </c>
      <c r="V24" s="408">
        <v>12005</v>
      </c>
    </row>
    <row r="25" spans="1:22" s="9" customFormat="1" ht="90" customHeight="1">
      <c r="A25" s="373"/>
      <c r="B25" s="128" t="s">
        <v>293</v>
      </c>
      <c r="C25" s="201">
        <f>VLOOKUP(B25,Данные!A19:Z376,26,FALSE)</f>
        <v>3019</v>
      </c>
      <c r="D25" s="342" t="s">
        <v>286</v>
      </c>
      <c r="E25" s="389" t="str">
        <f t="shared" ref="E25" si="9">CONCATENATE(CONCATENATE($F$3,": ",$F25,CHAR(10),$G$3,": ",$G25,CHAR(10),$H$3,": ",$H25,CHAR(10),$I$3,": ",$I25,CHAR(10),$J$3,": ",$J25,CHAR(10),$K$3,": ",$K25,CHAR(10),$L$3,": ",$L25,CHAR(10)),"*Цветовая темп.: 5000К (по умолчанию), 3000К, 4000К (опционально)")</f>
        <v>КСС: Ш (широкая), боковая,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5" s="123" t="str">
        <f>VLOOKUP($B25,Данные!$A$1:$U$1009,6,FALSE)</f>
        <v>Ш (широкая), боковая, 30*120 гр</v>
      </c>
      <c r="G25" s="123" t="str">
        <f>VLOOKUP($B25,Данные!$A$1:$U$1009,8,FALSE)</f>
        <v>Samsung LH351</v>
      </c>
      <c r="H25" s="123" t="str">
        <f>VLOOKUP($B25,Данные!$A$1:$U$1009,12,FALSE)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5" s="123" t="str">
        <f>VLOOKUP($B25,Данные!$A$1:$U$1009,4,FALSE)</f>
        <v>176-264В AС</v>
      </c>
      <c r="J25" s="123">
        <f>VLOOKUP($B25,Данные!$A$1:$U$1009,5,FALSE)</f>
        <v>0.95</v>
      </c>
      <c r="K25" s="123" t="str">
        <f>VLOOKUP($B25,Данные!$A$1:$U$1009,13,FALSE)</f>
        <v xml:space="preserve"> -60°...+50° С</v>
      </c>
      <c r="L25" s="123" t="str">
        <f>VLOOKUP($B25,Данные!$A$1:$U$1009,14,FALSE)</f>
        <v>100 000 ч</v>
      </c>
      <c r="M25" s="123" t="str">
        <f>VLOOKUP($B25,Данные!$A$1:$U$1009,10,FALSE)</f>
        <v>224х262х87</v>
      </c>
      <c r="N25" s="123">
        <f>VLOOKUP($B25,Данные!$A$1:$U$1009,11,FALSE)</f>
        <v>0</v>
      </c>
      <c r="O25" s="125" t="str">
        <f>VLOOKUP($B25,Данные!$A$1:$U$1009,9,FALSE)</f>
        <v>-</v>
      </c>
      <c r="P25" s="33">
        <f>VLOOKUP($B25,Данные!$A$1:$U$1009,2,FALSE)</f>
        <v>54</v>
      </c>
      <c r="Q25" s="117">
        <f>VLOOKUP($B25,Данные!$A$1:$U$1009,3,FALSE)</f>
        <v>7830</v>
      </c>
      <c r="R25" s="100">
        <f t="shared" si="5"/>
        <v>145</v>
      </c>
      <c r="S25" s="88" t="str">
        <f>VLOOKUP($B25,Данные!$A$1:$U$1009,15,FALSE)</f>
        <v>5000К 4000К* 3000К*</v>
      </c>
      <c r="T25" s="88">
        <f>VLOOKUP($B25,Данные!$A$1:$U$1009,7,FALSE)</f>
        <v>67</v>
      </c>
      <c r="U25" s="103" t="str">
        <f>VLOOKUP($B25,Данные!$A$1:$U$1009,16,FALSE)</f>
        <v>5 лет</v>
      </c>
      <c r="V25" s="406">
        <v>5260</v>
      </c>
    </row>
    <row r="26" spans="1:22" s="9" customFormat="1" ht="90" customHeight="1">
      <c r="A26" s="371"/>
      <c r="B26" s="129" t="s">
        <v>294</v>
      </c>
      <c r="C26" s="202">
        <f>VLOOKUP(B26,Данные!A20:Z377,26,FALSE)</f>
        <v>3020</v>
      </c>
      <c r="D26" s="337"/>
      <c r="E26" s="398"/>
      <c r="F26" s="35" t="str">
        <f>VLOOKUP($B26,Данные!$A$1:$U$1009,6,FALSE)</f>
        <v>Ш (широкая), боковая, 30*120 гр</v>
      </c>
      <c r="G26" s="35" t="str">
        <f>VLOOKUP($B26,Данные!$A$1:$U$1009,8,FALSE)</f>
        <v>Samsung LH351</v>
      </c>
      <c r="H26" s="35" t="str">
        <f>VLOOKUP($B26,Данные!$A$1:$U$1009,12,FALSE)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6" s="35" t="str">
        <f>VLOOKUP($B26,Данные!$A$1:$U$1009,4,FALSE)</f>
        <v>176-264В AС</v>
      </c>
      <c r="J26" s="35">
        <f>VLOOKUP($B26,Данные!$A$1:$U$1009,5,FALSE)</f>
        <v>0.95</v>
      </c>
      <c r="K26" s="35" t="str">
        <f>VLOOKUP($B26,Данные!$A$1:$U$1009,13,FALSE)</f>
        <v xml:space="preserve"> -60°...+50° С</v>
      </c>
      <c r="L26" s="35" t="str">
        <f>VLOOKUP($B26,Данные!$A$1:$U$1009,14,FALSE)</f>
        <v>100 000 ч</v>
      </c>
      <c r="M26" s="35" t="str">
        <f>VLOOKUP($B26,Данные!$A$1:$U$1009,10,FALSE)</f>
        <v>374х262х87</v>
      </c>
      <c r="N26" s="35">
        <f>VLOOKUP($B26,Данные!$A$1:$U$1009,11,FALSE)</f>
        <v>0</v>
      </c>
      <c r="O26" s="126" t="str">
        <f>VLOOKUP($B26,Данные!$A$1:$U$1009,9,FALSE)</f>
        <v>-</v>
      </c>
      <c r="P26" s="34">
        <f>VLOOKUP($B26,Данные!$A$1:$U$1009,2,FALSE)</f>
        <v>106</v>
      </c>
      <c r="Q26" s="121">
        <f>VLOOKUP($B26,Данные!$A$1:$U$1009,3,FALSE)</f>
        <v>15370</v>
      </c>
      <c r="R26" s="101">
        <f t="shared" si="5"/>
        <v>145</v>
      </c>
      <c r="S26" s="89" t="str">
        <f>VLOOKUP($B26,Данные!$A$1:$U$1009,15,FALSE)</f>
        <v>5000К 4000К* 3000К*</v>
      </c>
      <c r="T26" s="89">
        <f>VLOOKUP($B26,Данные!$A$1:$U$1009,7,FALSE)</f>
        <v>67</v>
      </c>
      <c r="U26" s="104" t="str">
        <f>VLOOKUP($B26,Данные!$A$1:$U$1009,16,FALSE)</f>
        <v>5 лет</v>
      </c>
      <c r="V26" s="407">
        <v>7805</v>
      </c>
    </row>
    <row r="27" spans="1:22" s="9" customFormat="1" ht="90" customHeight="1" thickBot="1">
      <c r="A27" s="372"/>
      <c r="B27" s="130" t="s">
        <v>295</v>
      </c>
      <c r="C27" s="203">
        <f>VLOOKUP(B27,Данные!A21:Z378,26,FALSE)</f>
        <v>3021</v>
      </c>
      <c r="D27" s="343"/>
      <c r="E27" s="390"/>
      <c r="F27" s="124" t="str">
        <f>VLOOKUP($B27,Данные!$A$1:$U$1009,6,FALSE)</f>
        <v>Ш (широкая), боковая, 30*120 гр</v>
      </c>
      <c r="G27" s="124" t="str">
        <f>VLOOKUP($B27,Данные!$A$1:$U$1009,8,FALSE)</f>
        <v>Samsung LH351</v>
      </c>
      <c r="H27" s="124" t="str">
        <f>VLOOKUP($B27,Данные!$A$1:$U$1009,12,FALSE)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7" s="124" t="str">
        <f>VLOOKUP($B27,Данные!$A$1:$U$1009,4,FALSE)</f>
        <v>176-264В AС</v>
      </c>
      <c r="J27" s="124">
        <f>VLOOKUP($B27,Данные!$A$1:$U$1009,5,FALSE)</f>
        <v>0.95</v>
      </c>
      <c r="K27" s="124" t="str">
        <f>VLOOKUP($B27,Данные!$A$1:$U$1009,13,FALSE)</f>
        <v xml:space="preserve"> -60°...+50° С</v>
      </c>
      <c r="L27" s="124" t="str">
        <f>VLOOKUP($B27,Данные!$A$1:$U$1009,14,FALSE)</f>
        <v>100 000 ч</v>
      </c>
      <c r="M27" s="124" t="str">
        <f>VLOOKUP($B27,Данные!$A$1:$U$1009,10,FALSE)</f>
        <v>548х262х87</v>
      </c>
      <c r="N27" s="124">
        <f>VLOOKUP($B27,Данные!$A$1:$U$1009,11,FALSE)</f>
        <v>0</v>
      </c>
      <c r="O27" s="127" t="str">
        <f>VLOOKUP($B27,Данные!$A$1:$U$1009,9,FALSE)</f>
        <v>-</v>
      </c>
      <c r="P27" s="74">
        <f>VLOOKUP($B27,Данные!$A$1:$U$1009,2,FALSE)</f>
        <v>158</v>
      </c>
      <c r="Q27" s="118">
        <f>VLOOKUP($B27,Данные!$A$1:$U$1009,3,FALSE)</f>
        <v>22910</v>
      </c>
      <c r="R27" s="102">
        <f t="shared" si="5"/>
        <v>145</v>
      </c>
      <c r="S27" s="90" t="str">
        <f>VLOOKUP($B27,Данные!$A$1:$U$1009,15,FALSE)</f>
        <v>5000К 4000К* 3000К*</v>
      </c>
      <c r="T27" s="90">
        <f>VLOOKUP($B27,Данные!$A$1:$U$1009,7,FALSE)</f>
        <v>67</v>
      </c>
      <c r="U27" s="105" t="str">
        <f>VLOOKUP($B27,Данные!$A$1:$U$1009,16,FALSE)</f>
        <v>5 лет</v>
      </c>
      <c r="V27" s="408">
        <v>12005</v>
      </c>
    </row>
    <row r="28" spans="1:22" s="9" customFormat="1" ht="90" customHeight="1">
      <c r="A28" s="373"/>
      <c r="B28" s="128" t="s">
        <v>290</v>
      </c>
      <c r="C28" s="201">
        <f>VLOOKUP(B28,Данные!A22:Z379,26,FALSE)</f>
        <v>3022</v>
      </c>
      <c r="D28" s="342" t="s">
        <v>286</v>
      </c>
      <c r="E28" s="389" t="str">
        <f t="shared" ref="E28" si="10">CONCATENATE(CONCATENATE($F$3,": ",$F28,CHAR(10),$G$3,": ",$G28,CHAR(10),$H$3,": ",$H28,CHAR(10),$I$3,": ",$I28,CHAR(10),$J$3,": ",$J28,CHAR(10),$K$3,": ",$K28,CHAR(10),$L$3,": ",$L28,CHAR(10)),"*Цветовая темп.: 5000К (по умолчанию), 3000К, 4000К (опционально)")</f>
        <v>КСС: Ш (широкая), боковая, 45*140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28" s="123" t="str">
        <f>VLOOKUP($B28,Данные!$A$1:$U$1009,6,FALSE)</f>
        <v>Ш (широкая), боковая, 45*140 гр</v>
      </c>
      <c r="G28" s="123" t="str">
        <f>VLOOKUP($B28,Данные!$A$1:$U$1009,8,FALSE)</f>
        <v>Samsung LH351</v>
      </c>
      <c r="H28" s="123" t="str">
        <f>VLOOKUP($B28,Данные!$A$1:$U$1009,12,FALSE)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8" s="123" t="str">
        <f>VLOOKUP($B28,Данные!$A$1:$U$1009,4,FALSE)</f>
        <v>176-264В AС</v>
      </c>
      <c r="J28" s="123">
        <f>VLOOKUP($B28,Данные!$A$1:$U$1009,5,FALSE)</f>
        <v>0.95</v>
      </c>
      <c r="K28" s="123" t="str">
        <f>VLOOKUP($B28,Данные!$A$1:$U$1009,13,FALSE)</f>
        <v xml:space="preserve"> -60°...+50° С</v>
      </c>
      <c r="L28" s="123" t="str">
        <f>VLOOKUP($B28,Данные!$A$1:$U$1009,14,FALSE)</f>
        <v>100 000 ч</v>
      </c>
      <c r="M28" s="123" t="str">
        <f>VLOOKUP($B28,Данные!$A$1:$U$1009,10,FALSE)</f>
        <v>224х262х87</v>
      </c>
      <c r="N28" s="123">
        <f>VLOOKUP($B28,Данные!$A$1:$U$1009,11,FALSE)</f>
        <v>0</v>
      </c>
      <c r="O28" s="125" t="str">
        <f>VLOOKUP($B28,Данные!$A$1:$U$1009,9,FALSE)</f>
        <v>-</v>
      </c>
      <c r="P28" s="33">
        <f>VLOOKUP($B28,Данные!$A$1:$U$1009,2,FALSE)</f>
        <v>54</v>
      </c>
      <c r="Q28" s="117">
        <f>VLOOKUP($B28,Данные!$A$1:$U$1009,3,FALSE)</f>
        <v>7830</v>
      </c>
      <c r="R28" s="100">
        <f t="shared" ref="R28:R30" si="11">Q28/P28</f>
        <v>145</v>
      </c>
      <c r="S28" s="88" t="str">
        <f>VLOOKUP($B28,Данные!$A$1:$U$1009,15,FALSE)</f>
        <v>5000К 4000К* 3000К*</v>
      </c>
      <c r="T28" s="88">
        <f>VLOOKUP($B28,Данные!$A$1:$U$1009,7,FALSE)</f>
        <v>67</v>
      </c>
      <c r="U28" s="103" t="str">
        <f>VLOOKUP($B28,Данные!$A$1:$U$1009,16,FALSE)</f>
        <v>5 лет</v>
      </c>
      <c r="V28" s="406">
        <v>5260</v>
      </c>
    </row>
    <row r="29" spans="1:22" s="9" customFormat="1" ht="90" customHeight="1">
      <c r="A29" s="371"/>
      <c r="B29" s="129" t="s">
        <v>291</v>
      </c>
      <c r="C29" s="202">
        <f>VLOOKUP(B29,Данные!A23:Z380,26,FALSE)</f>
        <v>3023</v>
      </c>
      <c r="D29" s="337"/>
      <c r="E29" s="398"/>
      <c r="F29" s="35" t="str">
        <f>VLOOKUP($B29,Данные!$A$1:$U$1009,6,FALSE)</f>
        <v>Ш (широкая), боковая, 45*140 гр</v>
      </c>
      <c r="G29" s="35" t="str">
        <f>VLOOKUP($B29,Данные!$A$1:$U$1009,8,FALSE)</f>
        <v>Samsung LH351</v>
      </c>
      <c r="H29" s="35" t="str">
        <f>VLOOKUP($B29,Данные!$A$1:$U$1009,12,FALSE)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29" s="35" t="str">
        <f>VLOOKUP($B29,Данные!$A$1:$U$1009,4,FALSE)</f>
        <v>176-264В AС</v>
      </c>
      <c r="J29" s="35">
        <f>VLOOKUP($B29,Данные!$A$1:$U$1009,5,FALSE)</f>
        <v>0.95</v>
      </c>
      <c r="K29" s="35" t="str">
        <f>VLOOKUP($B29,Данные!$A$1:$U$1009,13,FALSE)</f>
        <v xml:space="preserve"> -60°...+50° С</v>
      </c>
      <c r="L29" s="35" t="str">
        <f>VLOOKUP($B29,Данные!$A$1:$U$1009,14,FALSE)</f>
        <v>100 000 ч</v>
      </c>
      <c r="M29" s="35" t="str">
        <f>VLOOKUP($B29,Данные!$A$1:$U$1009,10,FALSE)</f>
        <v>374х262х87</v>
      </c>
      <c r="N29" s="35">
        <f>VLOOKUP($B29,Данные!$A$1:$U$1009,11,FALSE)</f>
        <v>0</v>
      </c>
      <c r="O29" s="126" t="str">
        <f>VLOOKUP($B29,Данные!$A$1:$U$1009,9,FALSE)</f>
        <v>-</v>
      </c>
      <c r="P29" s="34">
        <f>VLOOKUP($B29,Данные!$A$1:$U$1009,2,FALSE)</f>
        <v>106</v>
      </c>
      <c r="Q29" s="121">
        <f>VLOOKUP($B29,Данные!$A$1:$U$1009,3,FALSE)</f>
        <v>15370</v>
      </c>
      <c r="R29" s="101">
        <f t="shared" si="11"/>
        <v>145</v>
      </c>
      <c r="S29" s="89" t="str">
        <f>VLOOKUP($B29,Данные!$A$1:$U$1009,15,FALSE)</f>
        <v>5000К 4000К* 3000К*</v>
      </c>
      <c r="T29" s="89">
        <f>VLOOKUP($B29,Данные!$A$1:$U$1009,7,FALSE)</f>
        <v>67</v>
      </c>
      <c r="U29" s="104" t="str">
        <f>VLOOKUP($B29,Данные!$A$1:$U$1009,16,FALSE)</f>
        <v>5 лет</v>
      </c>
      <c r="V29" s="407">
        <v>7805</v>
      </c>
    </row>
    <row r="30" spans="1:22" s="9" customFormat="1" ht="90" customHeight="1" thickBot="1">
      <c r="A30" s="372"/>
      <c r="B30" s="130" t="s">
        <v>292</v>
      </c>
      <c r="C30" s="203">
        <f>VLOOKUP(B30,Данные!A24:Z381,26,FALSE)</f>
        <v>3024</v>
      </c>
      <c r="D30" s="343"/>
      <c r="E30" s="390"/>
      <c r="F30" s="124" t="str">
        <f>VLOOKUP($B30,Данные!$A$1:$U$1009,6,FALSE)</f>
        <v>Ш (широкая), боковая, 45*140 гр</v>
      </c>
      <c r="G30" s="124" t="str">
        <f>VLOOKUP($B30,Данные!$A$1:$U$1009,8,FALSE)</f>
        <v>Samsung LH351</v>
      </c>
      <c r="H30" s="124" t="str">
        <f>VLOOKUP($B30,Данные!$A$1:$U$1009,12,FALSE)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0" s="124" t="str">
        <f>VLOOKUP($B30,Данные!$A$1:$U$1009,4,FALSE)</f>
        <v>176-264В AС</v>
      </c>
      <c r="J30" s="124">
        <f>VLOOKUP($B30,Данные!$A$1:$U$1009,5,FALSE)</f>
        <v>0.95</v>
      </c>
      <c r="K30" s="124" t="str">
        <f>VLOOKUP($B30,Данные!$A$1:$U$1009,13,FALSE)</f>
        <v xml:space="preserve"> -60°...+50° С</v>
      </c>
      <c r="L30" s="124" t="str">
        <f>VLOOKUP($B30,Данные!$A$1:$U$1009,14,FALSE)</f>
        <v>100 000 ч</v>
      </c>
      <c r="M30" s="124" t="str">
        <f>VLOOKUP($B30,Данные!$A$1:$U$1009,10,FALSE)</f>
        <v>548х262х87</v>
      </c>
      <c r="N30" s="124">
        <f>VLOOKUP($B30,Данные!$A$1:$U$1009,11,FALSE)</f>
        <v>0</v>
      </c>
      <c r="O30" s="127" t="str">
        <f>VLOOKUP($B30,Данные!$A$1:$U$1009,9,FALSE)</f>
        <v>-</v>
      </c>
      <c r="P30" s="74">
        <f>VLOOKUP($B30,Данные!$A$1:$U$1009,2,FALSE)</f>
        <v>158</v>
      </c>
      <c r="Q30" s="118">
        <f>VLOOKUP($B30,Данные!$A$1:$U$1009,3,FALSE)</f>
        <v>22910</v>
      </c>
      <c r="R30" s="102">
        <f t="shared" si="11"/>
        <v>145</v>
      </c>
      <c r="S30" s="90" t="str">
        <f>VLOOKUP($B30,Данные!$A$1:$U$1009,15,FALSE)</f>
        <v>5000К 4000К* 3000К*</v>
      </c>
      <c r="T30" s="90">
        <f>VLOOKUP($B30,Данные!$A$1:$U$1009,7,FALSE)</f>
        <v>67</v>
      </c>
      <c r="U30" s="105" t="str">
        <f>VLOOKUP($B30,Данные!$A$1:$U$1009,16,FALSE)</f>
        <v>5 лет</v>
      </c>
      <c r="V30" s="408">
        <v>12005</v>
      </c>
    </row>
    <row r="31" spans="1:22" s="9" customFormat="1" ht="90" customHeight="1">
      <c r="A31" s="373"/>
      <c r="B31" s="128" t="s">
        <v>302</v>
      </c>
      <c r="C31" s="201">
        <f>VLOOKUP(B31,Данные!A25:Z382,26,FALSE)</f>
        <v>3025</v>
      </c>
      <c r="D31" s="342" t="s">
        <v>286</v>
      </c>
      <c r="E31" s="389" t="str">
        <f t="shared" ref="E31" si="12">CONCATENATE(CONCATENATE($F$3,": ",$F31,CHAR(10),$G$3,": ",$G31,CHAR(10),$H$3,": ",$H31,CHAR(10),$I$3,": ",$I31,CHAR(10),$J$3,": ",$J31,CHAR(10),$K$3,": ",$K31,CHAR(10),$L$3,": ",$L31,CHAR(10)),"*Цветовая темп.: 5000К (по умолчанию), 3000К, 4000К (опционально)")</f>
        <v>КСС: Ш (широкая), боковая,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1" s="123" t="str">
        <f>VLOOKUP($B31,Данные!$A$1:$U$1009,6,FALSE)</f>
        <v>Ш (широкая), боковая, 30*120 гр</v>
      </c>
      <c r="G31" s="123" t="str">
        <f>VLOOKUP($B31,Данные!$A$1:$U$1009,8,FALSE)</f>
        <v>Samsung LH351</v>
      </c>
      <c r="H31" s="123" t="str">
        <f>VLOOKUP($B31,Данные!$A$1:$U$1009,12,FALSE)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1" s="123" t="str">
        <f>VLOOKUP($B31,Данные!$A$1:$U$1009,4,FALSE)</f>
        <v>176-264В AС</v>
      </c>
      <c r="J31" s="123">
        <f>VLOOKUP($B31,Данные!$A$1:$U$1009,5,FALSE)</f>
        <v>0.95</v>
      </c>
      <c r="K31" s="123" t="str">
        <f>VLOOKUP($B31,Данные!$A$1:$U$1009,13,FALSE)</f>
        <v xml:space="preserve"> -60°...+50° С</v>
      </c>
      <c r="L31" s="123" t="str">
        <f>VLOOKUP($B31,Данные!$A$1:$U$1009,14,FALSE)</f>
        <v>100 000 ч</v>
      </c>
      <c r="M31" s="123" t="str">
        <f>VLOOKUP($B31,Данные!$A$1:$U$1009,10,FALSE)</f>
        <v>224х320х154</v>
      </c>
      <c r="N31" s="123">
        <f>VLOOKUP($B31,Данные!$A$1:$U$1009,11,FALSE)</f>
        <v>0</v>
      </c>
      <c r="O31" s="125" t="str">
        <f>VLOOKUP($B31,Данные!$A$1:$U$1009,9,FALSE)</f>
        <v>-</v>
      </c>
      <c r="P31" s="33">
        <f>VLOOKUP($B31,Данные!$A$1:$U$1009,2,FALSE)</f>
        <v>81</v>
      </c>
      <c r="Q31" s="117">
        <f>VLOOKUP($B31,Данные!$A$1:$U$1009,3,FALSE)</f>
        <v>11745</v>
      </c>
      <c r="R31" s="100">
        <f t="shared" ref="R31:R33" si="13">Q31/P31</f>
        <v>145</v>
      </c>
      <c r="S31" s="88" t="str">
        <f>VLOOKUP($B31,Данные!$A$1:$U$1009,15,FALSE)</f>
        <v>5000К 4000К* 3000К*</v>
      </c>
      <c r="T31" s="88">
        <f>VLOOKUP($B31,Данные!$A$1:$U$1009,7,FALSE)</f>
        <v>67</v>
      </c>
      <c r="U31" s="103" t="str">
        <f>VLOOKUP($B31,Данные!$A$1:$U$1009,16,FALSE)</f>
        <v>5 лет</v>
      </c>
      <c r="V31" s="406">
        <v>7880</v>
      </c>
    </row>
    <row r="32" spans="1:22" s="9" customFormat="1" ht="90" customHeight="1">
      <c r="A32" s="371"/>
      <c r="B32" s="129" t="s">
        <v>306</v>
      </c>
      <c r="C32" s="202">
        <f>VLOOKUP(B32,Данные!A26:Z383,26,FALSE)</f>
        <v>3026</v>
      </c>
      <c r="D32" s="337"/>
      <c r="E32" s="398"/>
      <c r="F32" s="35" t="str">
        <f>VLOOKUP($B32,Данные!$A$1:$U$1009,6,FALSE)</f>
        <v>Ш (широкая), боковая, 30*120 гр</v>
      </c>
      <c r="G32" s="35" t="str">
        <f>VLOOKUP($B32,Данные!$A$1:$U$1009,8,FALSE)</f>
        <v>Samsung LH351</v>
      </c>
      <c r="H32" s="35" t="str">
        <f>VLOOKUP($B32,Данные!$A$1:$U$1009,12,FALSE)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2" s="35" t="str">
        <f>VLOOKUP($B32,Данные!$A$1:$U$1009,4,FALSE)</f>
        <v>176-264В AС</v>
      </c>
      <c r="J32" s="35">
        <f>VLOOKUP($B32,Данные!$A$1:$U$1009,5,FALSE)</f>
        <v>0.95</v>
      </c>
      <c r="K32" s="35" t="str">
        <f>VLOOKUP($B32,Данные!$A$1:$U$1009,13,FALSE)</f>
        <v xml:space="preserve"> -60°...+50° С</v>
      </c>
      <c r="L32" s="35" t="str">
        <f>VLOOKUP($B32,Данные!$A$1:$U$1009,14,FALSE)</f>
        <v>100 000 ч</v>
      </c>
      <c r="M32" s="35" t="str">
        <f>VLOOKUP($B32,Данные!$A$1:$U$1009,10,FALSE)</f>
        <v>374х320х154</v>
      </c>
      <c r="N32" s="35">
        <f>VLOOKUP($B32,Данные!$A$1:$U$1009,11,FALSE)</f>
        <v>0</v>
      </c>
      <c r="O32" s="126" t="str">
        <f>VLOOKUP($B32,Данные!$A$1:$U$1009,9,FALSE)</f>
        <v>-</v>
      </c>
      <c r="P32" s="34">
        <f>VLOOKUP($B32,Данные!$A$1:$U$1009,2,FALSE)</f>
        <v>159</v>
      </c>
      <c r="Q32" s="121">
        <f>VLOOKUP($B32,Данные!$A$1:$U$1009,3,FALSE)</f>
        <v>23055</v>
      </c>
      <c r="R32" s="101">
        <f t="shared" si="13"/>
        <v>145</v>
      </c>
      <c r="S32" s="89" t="str">
        <f>VLOOKUP($B32,Данные!$A$1:$U$1009,15,FALSE)</f>
        <v>5000К 4000К* 3000К*</v>
      </c>
      <c r="T32" s="89">
        <f>VLOOKUP($B32,Данные!$A$1:$U$1009,7,FALSE)</f>
        <v>67</v>
      </c>
      <c r="U32" s="104" t="str">
        <f>VLOOKUP($B32,Данные!$A$1:$U$1009,16,FALSE)</f>
        <v>5 лет</v>
      </c>
      <c r="V32" s="407">
        <v>11705</v>
      </c>
    </row>
    <row r="33" spans="1:22" s="9" customFormat="1" ht="90" customHeight="1" thickBot="1">
      <c r="A33" s="372"/>
      <c r="B33" s="130" t="s">
        <v>310</v>
      </c>
      <c r="C33" s="203">
        <f>VLOOKUP(B33,Данные!A27:Z384,26,FALSE)</f>
        <v>3027</v>
      </c>
      <c r="D33" s="343"/>
      <c r="E33" s="390"/>
      <c r="F33" s="124" t="str">
        <f>VLOOKUP($B33,Данные!$A$1:$U$1009,6,FALSE)</f>
        <v>Ш (широкая), боковая, 30*120 гр</v>
      </c>
      <c r="G33" s="124" t="str">
        <f>VLOOKUP($B33,Данные!$A$1:$U$1009,8,FALSE)</f>
        <v>Samsung LH351</v>
      </c>
      <c r="H33" s="124" t="str">
        <f>VLOOKUP($B33,Данные!$A$1:$U$1009,12,FALSE)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3" s="124" t="str">
        <f>VLOOKUP($B33,Данные!$A$1:$U$1009,4,FALSE)</f>
        <v>176-264В AС</v>
      </c>
      <c r="J33" s="124">
        <f>VLOOKUP($B33,Данные!$A$1:$U$1009,5,FALSE)</f>
        <v>0.95</v>
      </c>
      <c r="K33" s="124" t="str">
        <f>VLOOKUP($B33,Данные!$A$1:$U$1009,13,FALSE)</f>
        <v xml:space="preserve"> -60°...+50° С</v>
      </c>
      <c r="L33" s="124" t="str">
        <f>VLOOKUP($B33,Данные!$A$1:$U$1009,14,FALSE)</f>
        <v>100 000 ч</v>
      </c>
      <c r="M33" s="124" t="str">
        <f>VLOOKUP($B33,Данные!$A$1:$U$1009,10,FALSE)</f>
        <v>548х320х154</v>
      </c>
      <c r="N33" s="124">
        <f>VLOOKUP($B33,Данные!$A$1:$U$1009,11,FALSE)</f>
        <v>0</v>
      </c>
      <c r="O33" s="127" t="str">
        <f>VLOOKUP($B33,Данные!$A$1:$U$1009,9,FALSE)</f>
        <v>-</v>
      </c>
      <c r="P33" s="74">
        <f>VLOOKUP($B33,Данные!$A$1:$U$1009,2,FALSE)</f>
        <v>237</v>
      </c>
      <c r="Q33" s="118">
        <f>VLOOKUP($B33,Данные!$A$1:$U$1009,3,FALSE)</f>
        <v>34365</v>
      </c>
      <c r="R33" s="102">
        <f t="shared" si="13"/>
        <v>145</v>
      </c>
      <c r="S33" s="90" t="str">
        <f>VLOOKUP($B33,Данные!$A$1:$U$1009,15,FALSE)</f>
        <v>5000К 4000К* 3000К*</v>
      </c>
      <c r="T33" s="90">
        <f>VLOOKUP($B33,Данные!$A$1:$U$1009,7,FALSE)</f>
        <v>67</v>
      </c>
      <c r="U33" s="105" t="str">
        <f>VLOOKUP($B33,Данные!$A$1:$U$1009,16,FALSE)</f>
        <v>5 лет</v>
      </c>
      <c r="V33" s="408">
        <v>18010</v>
      </c>
    </row>
    <row r="34" spans="1:22" s="9" customFormat="1" ht="90" customHeight="1">
      <c r="A34" s="373"/>
      <c r="B34" s="128" t="s">
        <v>303</v>
      </c>
      <c r="C34" s="201">
        <f>VLOOKUP(B34,Данные!A28:Z385,26,FALSE)</f>
        <v>3028</v>
      </c>
      <c r="D34" s="342" t="s">
        <v>286</v>
      </c>
      <c r="E34" s="389" t="str">
        <f t="shared" ref="E34" si="14">CONCATENATE(CONCATENATE($F$3,": ",$F34,CHAR(10),$G$3,": ",$G34,CHAR(10),$H$3,": ",$H34,CHAR(10),$I$3,": ",$I34,CHAR(10),$J$3,": ",$J34,CHAR(10),$K$3,": ",$K34,CHAR(10),$L$3,": ",$L34,CHAR(10)),"*Цветовая темп.: 5000К (по умолчанию), 3000К, 4000К (опционально)")</f>
        <v>КСС: Ш (широкая), боковая, 45*140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4" s="123" t="str">
        <f>VLOOKUP($B34,Данные!$A$1:$U$1009,6,FALSE)</f>
        <v>Ш (широкая), боковая, 45*140 гр</v>
      </c>
      <c r="G34" s="123" t="str">
        <f>VLOOKUP($B34,Данные!$A$1:$U$1009,8,FALSE)</f>
        <v>Samsung LH351</v>
      </c>
      <c r="H34" s="123" t="str">
        <f>VLOOKUP($B34,Данные!$A$1:$U$1009,12,FALSE)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4" s="123" t="str">
        <f>VLOOKUP($B34,Данные!$A$1:$U$1009,4,FALSE)</f>
        <v>176-264В AС</v>
      </c>
      <c r="J34" s="123">
        <f>VLOOKUP($B34,Данные!$A$1:$U$1009,5,FALSE)</f>
        <v>0.95</v>
      </c>
      <c r="K34" s="123" t="str">
        <f>VLOOKUP($B34,Данные!$A$1:$U$1009,13,FALSE)</f>
        <v xml:space="preserve"> -60°...+50° С</v>
      </c>
      <c r="L34" s="123" t="str">
        <f>VLOOKUP($B34,Данные!$A$1:$U$1009,14,FALSE)</f>
        <v>100 000 ч</v>
      </c>
      <c r="M34" s="123" t="str">
        <f>VLOOKUP($B34,Данные!$A$1:$U$1009,10,FALSE)</f>
        <v>224х320х154</v>
      </c>
      <c r="N34" s="123">
        <f>VLOOKUP($B34,Данные!$A$1:$U$1009,11,FALSE)</f>
        <v>0</v>
      </c>
      <c r="O34" s="125" t="str">
        <f>VLOOKUP($B34,Данные!$A$1:$U$1009,9,FALSE)</f>
        <v>-</v>
      </c>
      <c r="P34" s="33">
        <f>VLOOKUP($B34,Данные!$A$1:$U$1009,2,FALSE)</f>
        <v>81</v>
      </c>
      <c r="Q34" s="117">
        <f>VLOOKUP($B34,Данные!$A$1:$U$1009,3,FALSE)</f>
        <v>11745</v>
      </c>
      <c r="R34" s="100">
        <f t="shared" si="5"/>
        <v>145</v>
      </c>
      <c r="S34" s="88" t="str">
        <f>VLOOKUP($B34,Данные!$A$1:$U$1009,15,FALSE)</f>
        <v>5000К 4000К* 3000К*</v>
      </c>
      <c r="T34" s="88">
        <f>VLOOKUP($B34,Данные!$A$1:$U$1009,7,FALSE)</f>
        <v>67</v>
      </c>
      <c r="U34" s="103" t="str">
        <f>VLOOKUP($B34,Данные!$A$1:$U$1009,16,FALSE)</f>
        <v>5 лет</v>
      </c>
      <c r="V34" s="406">
        <v>7880</v>
      </c>
    </row>
    <row r="35" spans="1:22" s="9" customFormat="1" ht="90" customHeight="1">
      <c r="A35" s="371"/>
      <c r="B35" s="129" t="s">
        <v>307</v>
      </c>
      <c r="C35" s="202">
        <f>VLOOKUP(B35,Данные!A29:Z386,26,FALSE)</f>
        <v>3029</v>
      </c>
      <c r="D35" s="337"/>
      <c r="E35" s="398"/>
      <c r="F35" s="35" t="str">
        <f>VLOOKUP($B35,Данные!$A$1:$U$1009,6,FALSE)</f>
        <v>Ш (широкая), боковая, 45*140 гр</v>
      </c>
      <c r="G35" s="35" t="str">
        <f>VLOOKUP($B35,Данные!$A$1:$U$1009,8,FALSE)</f>
        <v>Samsung LH351</v>
      </c>
      <c r="H35" s="35" t="str">
        <f>VLOOKUP($B35,Данные!$A$1:$U$1009,12,FALSE)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5" s="35" t="str">
        <f>VLOOKUP($B35,Данные!$A$1:$U$1009,4,FALSE)</f>
        <v>176-264В AС</v>
      </c>
      <c r="J35" s="35">
        <f>VLOOKUP($B35,Данные!$A$1:$U$1009,5,FALSE)</f>
        <v>0.95</v>
      </c>
      <c r="K35" s="35" t="str">
        <f>VLOOKUP($B35,Данные!$A$1:$U$1009,13,FALSE)</f>
        <v xml:space="preserve"> -60°...+50° С</v>
      </c>
      <c r="L35" s="35" t="str">
        <f>VLOOKUP($B35,Данные!$A$1:$U$1009,14,FALSE)</f>
        <v>100 000 ч</v>
      </c>
      <c r="M35" s="35" t="str">
        <f>VLOOKUP($B35,Данные!$A$1:$U$1009,10,FALSE)</f>
        <v>374х320х154</v>
      </c>
      <c r="N35" s="35">
        <f>VLOOKUP($B35,Данные!$A$1:$U$1009,11,FALSE)</f>
        <v>0</v>
      </c>
      <c r="O35" s="126" t="str">
        <f>VLOOKUP($B35,Данные!$A$1:$U$1009,9,FALSE)</f>
        <v>-</v>
      </c>
      <c r="P35" s="34">
        <f>VLOOKUP($B35,Данные!$A$1:$U$1009,2,FALSE)</f>
        <v>159</v>
      </c>
      <c r="Q35" s="121">
        <f>VLOOKUP($B35,Данные!$A$1:$U$1009,3,FALSE)</f>
        <v>23055</v>
      </c>
      <c r="R35" s="101">
        <f t="shared" si="5"/>
        <v>145</v>
      </c>
      <c r="S35" s="89" t="str">
        <f>VLOOKUP($B35,Данные!$A$1:$U$1009,15,FALSE)</f>
        <v>5000К 4000К* 3000К*</v>
      </c>
      <c r="T35" s="89">
        <f>VLOOKUP($B35,Данные!$A$1:$U$1009,7,FALSE)</f>
        <v>67</v>
      </c>
      <c r="U35" s="104" t="str">
        <f>VLOOKUP($B35,Данные!$A$1:$U$1009,16,FALSE)</f>
        <v>5 лет</v>
      </c>
      <c r="V35" s="407">
        <v>11705</v>
      </c>
    </row>
    <row r="36" spans="1:22" s="9" customFormat="1" ht="90" customHeight="1" thickBot="1">
      <c r="A36" s="372"/>
      <c r="B36" s="130" t="s">
        <v>311</v>
      </c>
      <c r="C36" s="203">
        <f>VLOOKUP(B36,Данные!A30:Z387,26,FALSE)</f>
        <v>3030</v>
      </c>
      <c r="D36" s="343"/>
      <c r="E36" s="390"/>
      <c r="F36" s="124" t="str">
        <f>VLOOKUP($B36,Данные!$A$1:$U$1009,6,FALSE)</f>
        <v>Ш (широкая), боковая, 45*140 гр</v>
      </c>
      <c r="G36" s="124" t="str">
        <f>VLOOKUP($B36,Данные!$A$1:$U$1009,8,FALSE)</f>
        <v>Samsung LH351</v>
      </c>
      <c r="H36" s="124" t="str">
        <f>VLOOKUP($B36,Данные!$A$1:$U$1009,12,FALSE)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6" s="124" t="str">
        <f>VLOOKUP($B36,Данные!$A$1:$U$1009,4,FALSE)</f>
        <v>176-264В AС</v>
      </c>
      <c r="J36" s="124">
        <f>VLOOKUP($B36,Данные!$A$1:$U$1009,5,FALSE)</f>
        <v>0.95</v>
      </c>
      <c r="K36" s="124" t="str">
        <f>VLOOKUP($B36,Данные!$A$1:$U$1009,13,FALSE)</f>
        <v xml:space="preserve"> -60°...+50° С</v>
      </c>
      <c r="L36" s="124" t="str">
        <f>VLOOKUP($B36,Данные!$A$1:$U$1009,14,FALSE)</f>
        <v>100 000 ч</v>
      </c>
      <c r="M36" s="124" t="str">
        <f>VLOOKUP($B36,Данные!$A$1:$U$1009,10,FALSE)</f>
        <v>548х320х154</v>
      </c>
      <c r="N36" s="124">
        <f>VLOOKUP($B36,Данные!$A$1:$U$1009,11,FALSE)</f>
        <v>0</v>
      </c>
      <c r="O36" s="127" t="str">
        <f>VLOOKUP($B36,Данные!$A$1:$U$1009,9,FALSE)</f>
        <v>-</v>
      </c>
      <c r="P36" s="74">
        <f>VLOOKUP($B36,Данные!$A$1:$U$1009,2,FALSE)</f>
        <v>237</v>
      </c>
      <c r="Q36" s="118">
        <f>VLOOKUP($B36,Данные!$A$1:$U$1009,3,FALSE)</f>
        <v>34365</v>
      </c>
      <c r="R36" s="102">
        <f t="shared" si="5"/>
        <v>145</v>
      </c>
      <c r="S36" s="90" t="str">
        <f>VLOOKUP($B36,Данные!$A$1:$U$1009,15,FALSE)</f>
        <v>5000К 4000К* 3000К*</v>
      </c>
      <c r="T36" s="90">
        <f>VLOOKUP($B36,Данные!$A$1:$U$1009,7,FALSE)</f>
        <v>67</v>
      </c>
      <c r="U36" s="105" t="str">
        <f>VLOOKUP($B36,Данные!$A$1:$U$1009,16,FALSE)</f>
        <v>5 лет</v>
      </c>
      <c r="V36" s="408">
        <v>18010</v>
      </c>
    </row>
    <row r="37" spans="1:22" s="9" customFormat="1" ht="90" customHeight="1">
      <c r="A37" s="373"/>
      <c r="B37" s="128" t="s">
        <v>304</v>
      </c>
      <c r="C37" s="201">
        <f>VLOOKUP(B37,Данные!A31:Z388,26,FALSE)</f>
        <v>3031</v>
      </c>
      <c r="D37" s="342" t="s">
        <v>286</v>
      </c>
      <c r="E37" s="389" t="str">
        <f t="shared" ref="E37" si="15">CONCATENATE(CONCATENATE($F$3,": ",$F37,CHAR(10),$G$3,": ",$G37,CHAR(10),$H$3,": ",$H37,CHAR(10),$I$3,": ",$I37,CHAR(10),$J$3,": ",$J37,CHAR(10),$K$3,": ",$K37,CHAR(10),$L$3,": ",$L37,CHAR(10)),"*Цветовая темп.: 5000К (по умолчанию), 3000К, 4000К (опционально)")</f>
        <v>КСС: Ш (широкая), боковая,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37" s="123" t="str">
        <f>VLOOKUP($B37,Данные!$A$1:$U$1009,6,FALSE)</f>
        <v>Ш (широкая), боковая, 30*120 гр</v>
      </c>
      <c r="G37" s="123" t="str">
        <f>VLOOKUP($B37,Данные!$A$1:$U$1009,8,FALSE)</f>
        <v>Samsung LH351</v>
      </c>
      <c r="H37" s="123" t="str">
        <f>VLOOKUP($B37,Данные!$A$1:$U$1009,12,FALSE)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7" s="123" t="str">
        <f>VLOOKUP($B37,Данные!$A$1:$U$1009,4,FALSE)</f>
        <v>176-264В AС</v>
      </c>
      <c r="J37" s="123">
        <f>VLOOKUP($B37,Данные!$A$1:$U$1009,5,FALSE)</f>
        <v>0.95</v>
      </c>
      <c r="K37" s="123" t="str">
        <f>VLOOKUP($B37,Данные!$A$1:$U$1009,13,FALSE)</f>
        <v xml:space="preserve"> -60°...+50° С</v>
      </c>
      <c r="L37" s="123" t="str">
        <f>VLOOKUP($B37,Данные!$A$1:$U$1009,14,FALSE)</f>
        <v>100 000 ч</v>
      </c>
      <c r="M37" s="123" t="str">
        <f>VLOOKUP($B37,Данные!$A$1:$U$1009,10,FALSE)</f>
        <v>224х320х133</v>
      </c>
      <c r="N37" s="123">
        <f>VLOOKUP($B37,Данные!$A$1:$U$1009,11,FALSE)</f>
        <v>0</v>
      </c>
      <c r="O37" s="125" t="str">
        <f>VLOOKUP($B37,Данные!$A$1:$U$1009,9,FALSE)</f>
        <v>-</v>
      </c>
      <c r="P37" s="33">
        <f>VLOOKUP($B37,Данные!$A$1:$U$1009,2,FALSE)</f>
        <v>81</v>
      </c>
      <c r="Q37" s="117">
        <f>VLOOKUP($B37,Данные!$A$1:$U$1009,3,FALSE)</f>
        <v>11745</v>
      </c>
      <c r="R37" s="100">
        <f t="shared" ref="R37:R39" si="16">Q37/P37</f>
        <v>145</v>
      </c>
      <c r="S37" s="88" t="str">
        <f>VLOOKUP($B37,Данные!$A$1:$U$1009,15,FALSE)</f>
        <v>5000К 4000К* 3000К*</v>
      </c>
      <c r="T37" s="88">
        <f>VLOOKUP($B37,Данные!$A$1:$U$1009,7,FALSE)</f>
        <v>67</v>
      </c>
      <c r="U37" s="103" t="str">
        <f>VLOOKUP($B37,Данные!$A$1:$U$1009,16,FALSE)</f>
        <v>5 лет</v>
      </c>
      <c r="V37" s="406">
        <v>7880</v>
      </c>
    </row>
    <row r="38" spans="1:22" s="9" customFormat="1" ht="90" customHeight="1">
      <c r="A38" s="371"/>
      <c r="B38" s="129" t="s">
        <v>308</v>
      </c>
      <c r="C38" s="202">
        <f>VLOOKUP(B38,Данные!A32:Z389,26,FALSE)</f>
        <v>3032</v>
      </c>
      <c r="D38" s="337"/>
      <c r="E38" s="398"/>
      <c r="F38" s="35" t="str">
        <f>VLOOKUP($B38,Данные!$A$1:$U$1009,6,FALSE)</f>
        <v>Ш (широкая), боковая, 30*120 гр</v>
      </c>
      <c r="G38" s="35" t="str">
        <f>VLOOKUP($B38,Данные!$A$1:$U$1009,8,FALSE)</f>
        <v>Samsung LH351</v>
      </c>
      <c r="H38" s="35" t="str">
        <f>VLOOKUP($B38,Данные!$A$1:$U$1009,12,FALSE)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8" s="35" t="str">
        <f>VLOOKUP($B38,Данные!$A$1:$U$1009,4,FALSE)</f>
        <v>176-264В AС</v>
      </c>
      <c r="J38" s="35">
        <f>VLOOKUP($B38,Данные!$A$1:$U$1009,5,FALSE)</f>
        <v>0.95</v>
      </c>
      <c r="K38" s="35" t="str">
        <f>VLOOKUP($B38,Данные!$A$1:$U$1009,13,FALSE)</f>
        <v xml:space="preserve"> -60°...+50° С</v>
      </c>
      <c r="L38" s="35" t="str">
        <f>VLOOKUP($B38,Данные!$A$1:$U$1009,14,FALSE)</f>
        <v>100 000 ч</v>
      </c>
      <c r="M38" s="35" t="str">
        <f>VLOOKUP($B38,Данные!$A$1:$U$1009,10,FALSE)</f>
        <v>374х320х133</v>
      </c>
      <c r="N38" s="35">
        <f>VLOOKUP($B38,Данные!$A$1:$U$1009,11,FALSE)</f>
        <v>0</v>
      </c>
      <c r="O38" s="126" t="str">
        <f>VLOOKUP($B38,Данные!$A$1:$U$1009,9,FALSE)</f>
        <v>-</v>
      </c>
      <c r="P38" s="34">
        <f>VLOOKUP($B38,Данные!$A$1:$U$1009,2,FALSE)</f>
        <v>159</v>
      </c>
      <c r="Q38" s="121">
        <f>VLOOKUP($B38,Данные!$A$1:$U$1009,3,FALSE)</f>
        <v>23055</v>
      </c>
      <c r="R38" s="101">
        <f t="shared" si="16"/>
        <v>145</v>
      </c>
      <c r="S38" s="89" t="str">
        <f>VLOOKUP($B38,Данные!$A$1:$U$1009,15,FALSE)</f>
        <v>5000К 4000К* 3000К*</v>
      </c>
      <c r="T38" s="89">
        <f>VLOOKUP($B38,Данные!$A$1:$U$1009,7,FALSE)</f>
        <v>67</v>
      </c>
      <c r="U38" s="104" t="str">
        <f>VLOOKUP($B38,Данные!$A$1:$U$1009,16,FALSE)</f>
        <v>5 лет</v>
      </c>
      <c r="V38" s="407">
        <v>11705</v>
      </c>
    </row>
    <row r="39" spans="1:22" s="9" customFormat="1" ht="90" customHeight="1" thickBot="1">
      <c r="A39" s="372"/>
      <c r="B39" s="130" t="s">
        <v>312</v>
      </c>
      <c r="C39" s="203">
        <f>VLOOKUP(B39,Данные!A33:Z390,26,FALSE)</f>
        <v>3033</v>
      </c>
      <c r="D39" s="343"/>
      <c r="E39" s="390"/>
      <c r="F39" s="124" t="str">
        <f>VLOOKUP($B39,Данные!$A$1:$U$1009,6,FALSE)</f>
        <v>Ш (широкая), боковая, 30*120 гр</v>
      </c>
      <c r="G39" s="124" t="str">
        <f>VLOOKUP($B39,Данные!$A$1:$U$1009,8,FALSE)</f>
        <v>Samsung LH351</v>
      </c>
      <c r="H39" s="124" t="str">
        <f>VLOOKUP($B39,Данные!$A$1:$U$1009,12,FALSE)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39" s="124" t="str">
        <f>VLOOKUP($B39,Данные!$A$1:$U$1009,4,FALSE)</f>
        <v>176-264В AС</v>
      </c>
      <c r="J39" s="124">
        <f>VLOOKUP($B39,Данные!$A$1:$U$1009,5,FALSE)</f>
        <v>0.95</v>
      </c>
      <c r="K39" s="124" t="str">
        <f>VLOOKUP($B39,Данные!$A$1:$U$1009,13,FALSE)</f>
        <v xml:space="preserve"> -60°...+50° С</v>
      </c>
      <c r="L39" s="124" t="str">
        <f>VLOOKUP($B39,Данные!$A$1:$U$1009,14,FALSE)</f>
        <v>100 000 ч</v>
      </c>
      <c r="M39" s="124" t="str">
        <f>VLOOKUP($B39,Данные!$A$1:$U$1009,10,FALSE)</f>
        <v>548х320х133</v>
      </c>
      <c r="N39" s="124">
        <f>VLOOKUP($B39,Данные!$A$1:$U$1009,11,FALSE)</f>
        <v>0</v>
      </c>
      <c r="O39" s="127" t="str">
        <f>VLOOKUP($B39,Данные!$A$1:$U$1009,9,FALSE)</f>
        <v>-</v>
      </c>
      <c r="P39" s="74">
        <f>VLOOKUP($B39,Данные!$A$1:$U$1009,2,FALSE)</f>
        <v>237</v>
      </c>
      <c r="Q39" s="118">
        <f>VLOOKUP($B39,Данные!$A$1:$U$1009,3,FALSE)</f>
        <v>34365</v>
      </c>
      <c r="R39" s="102">
        <f t="shared" si="16"/>
        <v>145</v>
      </c>
      <c r="S39" s="90" t="str">
        <f>VLOOKUP($B39,Данные!$A$1:$U$1009,15,FALSE)</f>
        <v>5000К 4000К* 3000К*</v>
      </c>
      <c r="T39" s="90">
        <f>VLOOKUP($B39,Данные!$A$1:$U$1009,7,FALSE)</f>
        <v>67</v>
      </c>
      <c r="U39" s="105" t="str">
        <f>VLOOKUP($B39,Данные!$A$1:$U$1009,16,FALSE)</f>
        <v>5 лет</v>
      </c>
      <c r="V39" s="408">
        <v>18010</v>
      </c>
    </row>
    <row r="40" spans="1:22" s="9" customFormat="1" ht="90" customHeight="1">
      <c r="A40" s="373"/>
      <c r="B40" s="128" t="s">
        <v>305</v>
      </c>
      <c r="C40" s="201">
        <f>VLOOKUP(B40,Данные!A34:Z391,26,FALSE)</f>
        <v>3034</v>
      </c>
      <c r="D40" s="342" t="s">
        <v>286</v>
      </c>
      <c r="E40" s="389" t="str">
        <f t="shared" ref="E40" si="17">CONCATENATE(CONCATENATE($F$3,": ",$F40,CHAR(10),$G$3,": ",$G40,CHAR(10),$H$3,": ",$H40,CHAR(10),$I$3,": ",$I40,CHAR(10),$J$3,": ",$J40,CHAR(10),$K$3,": ",$K40,CHAR(10),$L$3,": ",$L40,CHAR(10)),"*Цветовая темп.: 5000К (по умолчанию), 3000К, 4000К (опционально)")</f>
        <v>КСС: Ш (широкая), боковая, 45*140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0" s="123" t="str">
        <f>VLOOKUP($B40,Данные!$A$1:$U$1009,6,FALSE)</f>
        <v>Ш (широкая), боковая, 45*140 гр</v>
      </c>
      <c r="G40" s="123" t="str">
        <f>VLOOKUP($B40,Данные!$A$1:$U$1009,8,FALSE)</f>
        <v>Samsung LH351</v>
      </c>
      <c r="H40" s="123" t="str">
        <f>VLOOKUP($B40,Данные!$A$1:$U$1009,12,FALSE)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0" s="123" t="str">
        <f>VLOOKUP($B40,Данные!$A$1:$U$1009,4,FALSE)</f>
        <v>176-264В AС</v>
      </c>
      <c r="J40" s="123">
        <f>VLOOKUP($B40,Данные!$A$1:$U$1009,5,FALSE)</f>
        <v>0.95</v>
      </c>
      <c r="K40" s="123" t="str">
        <f>VLOOKUP($B40,Данные!$A$1:$U$1009,13,FALSE)</f>
        <v xml:space="preserve"> -60°...+50° С</v>
      </c>
      <c r="L40" s="123" t="str">
        <f>VLOOKUP($B40,Данные!$A$1:$U$1009,14,FALSE)</f>
        <v>100 000 ч</v>
      </c>
      <c r="M40" s="123" t="str">
        <f>VLOOKUP($B40,Данные!$A$1:$U$1009,10,FALSE)</f>
        <v>224х320х133</v>
      </c>
      <c r="N40" s="123">
        <f>VLOOKUP($B40,Данные!$A$1:$U$1009,11,FALSE)</f>
        <v>0</v>
      </c>
      <c r="O40" s="125" t="str">
        <f>VLOOKUP($B40,Данные!$A$1:$U$1009,9,FALSE)</f>
        <v>-</v>
      </c>
      <c r="P40" s="33">
        <f>VLOOKUP($B40,Данные!$A$1:$U$1009,2,FALSE)</f>
        <v>81</v>
      </c>
      <c r="Q40" s="117">
        <f>VLOOKUP($B40,Данные!$A$1:$U$1009,3,FALSE)</f>
        <v>11745</v>
      </c>
      <c r="R40" s="100">
        <f t="shared" si="5"/>
        <v>145</v>
      </c>
      <c r="S40" s="88" t="str">
        <f>VLOOKUP($B40,Данные!$A$1:$U$1009,15,FALSE)</f>
        <v>5000К 4000К* 3000К*</v>
      </c>
      <c r="T40" s="88">
        <f>VLOOKUP($B40,Данные!$A$1:$U$1009,7,FALSE)</f>
        <v>67</v>
      </c>
      <c r="U40" s="103" t="str">
        <f>VLOOKUP($B40,Данные!$A$1:$U$1009,16,FALSE)</f>
        <v>5 лет</v>
      </c>
      <c r="V40" s="406">
        <v>7880</v>
      </c>
    </row>
    <row r="41" spans="1:22" s="9" customFormat="1" ht="90" customHeight="1">
      <c r="A41" s="371"/>
      <c r="B41" s="129" t="s">
        <v>309</v>
      </c>
      <c r="C41" s="202">
        <f>VLOOKUP(B41,Данные!A35:Z392,26,FALSE)</f>
        <v>3035</v>
      </c>
      <c r="D41" s="337"/>
      <c r="E41" s="398"/>
      <c r="F41" s="35" t="str">
        <f>VLOOKUP($B41,Данные!$A$1:$U$1009,6,FALSE)</f>
        <v>Ш (широкая), боковая, 45*140 гр</v>
      </c>
      <c r="G41" s="35" t="str">
        <f>VLOOKUP($B41,Данные!$A$1:$U$1009,8,FALSE)</f>
        <v>Samsung LH351</v>
      </c>
      <c r="H41" s="35" t="str">
        <f>VLOOKUP($B41,Данные!$A$1:$U$1009,12,FALSE)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1" s="35" t="str">
        <f>VLOOKUP($B41,Данные!$A$1:$U$1009,4,FALSE)</f>
        <v>176-264В AС</v>
      </c>
      <c r="J41" s="35">
        <f>VLOOKUP($B41,Данные!$A$1:$U$1009,5,FALSE)</f>
        <v>0.95</v>
      </c>
      <c r="K41" s="35" t="str">
        <f>VLOOKUP($B41,Данные!$A$1:$U$1009,13,FALSE)</f>
        <v xml:space="preserve"> -60°...+50° С</v>
      </c>
      <c r="L41" s="35" t="str">
        <f>VLOOKUP($B41,Данные!$A$1:$U$1009,14,FALSE)</f>
        <v>100 000 ч</v>
      </c>
      <c r="M41" s="35" t="str">
        <f>VLOOKUP($B41,Данные!$A$1:$U$1009,10,FALSE)</f>
        <v>374х320х133</v>
      </c>
      <c r="N41" s="35">
        <f>VLOOKUP($B41,Данные!$A$1:$U$1009,11,FALSE)</f>
        <v>0</v>
      </c>
      <c r="O41" s="126" t="str">
        <f>VLOOKUP($B41,Данные!$A$1:$U$1009,9,FALSE)</f>
        <v>-</v>
      </c>
      <c r="P41" s="34">
        <f>VLOOKUP($B41,Данные!$A$1:$U$1009,2,FALSE)</f>
        <v>159</v>
      </c>
      <c r="Q41" s="121">
        <f>VLOOKUP($B41,Данные!$A$1:$U$1009,3,FALSE)</f>
        <v>23055</v>
      </c>
      <c r="R41" s="101">
        <f t="shared" si="5"/>
        <v>145</v>
      </c>
      <c r="S41" s="89" t="str">
        <f>VLOOKUP($B41,Данные!$A$1:$U$1009,15,FALSE)</f>
        <v>5000К 4000К* 3000К*</v>
      </c>
      <c r="T41" s="89">
        <f>VLOOKUP($B41,Данные!$A$1:$U$1009,7,FALSE)</f>
        <v>67</v>
      </c>
      <c r="U41" s="104" t="str">
        <f>VLOOKUP($B41,Данные!$A$1:$U$1009,16,FALSE)</f>
        <v>5 лет</v>
      </c>
      <c r="V41" s="407">
        <v>11705</v>
      </c>
    </row>
    <row r="42" spans="1:22" s="9" customFormat="1" ht="90" customHeight="1" thickBot="1">
      <c r="A42" s="372"/>
      <c r="B42" s="130" t="s">
        <v>313</v>
      </c>
      <c r="C42" s="203">
        <f>VLOOKUP(B42,Данные!A36:Z393,26,FALSE)</f>
        <v>3036</v>
      </c>
      <c r="D42" s="343"/>
      <c r="E42" s="390"/>
      <c r="F42" s="124" t="str">
        <f>VLOOKUP($B42,Данные!$A$1:$U$1009,6,FALSE)</f>
        <v>Ш (широкая), боковая, 45*140 гр</v>
      </c>
      <c r="G42" s="124" t="str">
        <f>VLOOKUP($B42,Данные!$A$1:$U$1009,8,FALSE)</f>
        <v>Samsung LH351</v>
      </c>
      <c r="H42" s="124" t="str">
        <f>VLOOKUP($B42,Данные!$A$1:$U$1009,12,FALSE)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2" s="124" t="str">
        <f>VLOOKUP($B42,Данные!$A$1:$U$1009,4,FALSE)</f>
        <v>176-264В AС</v>
      </c>
      <c r="J42" s="124">
        <f>VLOOKUP($B42,Данные!$A$1:$U$1009,5,FALSE)</f>
        <v>0.95</v>
      </c>
      <c r="K42" s="124" t="str">
        <f>VLOOKUP($B42,Данные!$A$1:$U$1009,13,FALSE)</f>
        <v xml:space="preserve"> -60°...+50° С</v>
      </c>
      <c r="L42" s="124" t="str">
        <f>VLOOKUP($B42,Данные!$A$1:$U$1009,14,FALSE)</f>
        <v>100 000 ч</v>
      </c>
      <c r="M42" s="124" t="str">
        <f>VLOOKUP($B42,Данные!$A$1:$U$1009,10,FALSE)</f>
        <v>548х320х133</v>
      </c>
      <c r="N42" s="124">
        <f>VLOOKUP($B42,Данные!$A$1:$U$1009,11,FALSE)</f>
        <v>0</v>
      </c>
      <c r="O42" s="127" t="str">
        <f>VLOOKUP($B42,Данные!$A$1:$U$1009,9,FALSE)</f>
        <v>-</v>
      </c>
      <c r="P42" s="74">
        <f>VLOOKUP($B42,Данные!$A$1:$U$1009,2,FALSE)</f>
        <v>237</v>
      </c>
      <c r="Q42" s="118">
        <f>VLOOKUP($B42,Данные!$A$1:$U$1009,3,FALSE)</f>
        <v>34365</v>
      </c>
      <c r="R42" s="102">
        <f t="shared" si="5"/>
        <v>145</v>
      </c>
      <c r="S42" s="90" t="str">
        <f>VLOOKUP($B42,Данные!$A$1:$U$1009,15,FALSE)</f>
        <v>5000К 4000К* 3000К*</v>
      </c>
      <c r="T42" s="90">
        <f>VLOOKUP($B42,Данные!$A$1:$U$1009,7,FALSE)</f>
        <v>67</v>
      </c>
      <c r="U42" s="105" t="str">
        <f>VLOOKUP($B42,Данные!$A$1:$U$1009,16,FALSE)</f>
        <v>5 лет</v>
      </c>
      <c r="V42" s="408">
        <v>18010</v>
      </c>
    </row>
    <row r="43" spans="1:22" s="111" customFormat="1" ht="60" customHeight="1">
      <c r="A43" s="396" t="s">
        <v>283</v>
      </c>
      <c r="B43" s="397"/>
      <c r="C43" s="397"/>
      <c r="D43" s="397"/>
      <c r="E43" s="397"/>
      <c r="F43" s="397"/>
      <c r="G43" s="397"/>
      <c r="H43" s="397"/>
      <c r="I43" s="397"/>
      <c r="J43" s="397"/>
      <c r="K43" s="397"/>
      <c r="L43" s="397"/>
      <c r="M43" s="397"/>
      <c r="N43" s="397"/>
      <c r="O43" s="397"/>
      <c r="P43" s="397"/>
      <c r="Q43" s="397"/>
      <c r="R43" s="397"/>
      <c r="S43" s="397"/>
      <c r="T43" s="397"/>
      <c r="U43" s="397"/>
      <c r="V43" s="397"/>
    </row>
  </sheetData>
  <mergeCells count="48">
    <mergeCell ref="A25:A27"/>
    <mergeCell ref="D25:D27"/>
    <mergeCell ref="E25:E27"/>
    <mergeCell ref="A28:A30"/>
    <mergeCell ref="D28:D30"/>
    <mergeCell ref="E28:E30"/>
    <mergeCell ref="A22:A24"/>
    <mergeCell ref="D22:D24"/>
    <mergeCell ref="E22:E24"/>
    <mergeCell ref="A19:A21"/>
    <mergeCell ref="D19:D21"/>
    <mergeCell ref="E19:E21"/>
    <mergeCell ref="A34:A36"/>
    <mergeCell ref="D34:D36"/>
    <mergeCell ref="E34:E36"/>
    <mergeCell ref="A31:A33"/>
    <mergeCell ref="D31:D33"/>
    <mergeCell ref="E31:E33"/>
    <mergeCell ref="A40:A42"/>
    <mergeCell ref="D40:D42"/>
    <mergeCell ref="E40:E42"/>
    <mergeCell ref="A37:A39"/>
    <mergeCell ref="D37:D39"/>
    <mergeCell ref="E37:E39"/>
    <mergeCell ref="U2:U3"/>
    <mergeCell ref="V2:V3"/>
    <mergeCell ref="A16:A18"/>
    <mergeCell ref="D16:D18"/>
    <mergeCell ref="E16:E18"/>
    <mergeCell ref="C2:C3"/>
    <mergeCell ref="A13:A15"/>
    <mergeCell ref="D13:D15"/>
    <mergeCell ref="E13:E15"/>
    <mergeCell ref="A1:V1"/>
    <mergeCell ref="E2:T2"/>
    <mergeCell ref="A43:V43"/>
    <mergeCell ref="A4:A6"/>
    <mergeCell ref="D4:D6"/>
    <mergeCell ref="E4:E6"/>
    <mergeCell ref="A7:A9"/>
    <mergeCell ref="D7:D9"/>
    <mergeCell ref="E7:E9"/>
    <mergeCell ref="A10:A12"/>
    <mergeCell ref="D10:D12"/>
    <mergeCell ref="E10:E12"/>
    <mergeCell ref="A2:A3"/>
    <mergeCell ref="B2:B3"/>
    <mergeCell ref="D2:D3"/>
  </mergeCells>
  <pageMargins left="0.25" right="0.25" top="0.75" bottom="0.75" header="0.3" footer="0.3"/>
  <pageSetup paperSize="9" scale="48" fitToHeight="0" orientation="landscape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1:V6"/>
  <sheetViews>
    <sheetView view="pageBreakPreview" zoomScale="50" zoomScaleNormal="65" zoomScaleSheetLayoutView="50" workbookViewId="0">
      <pane xSplit="2" ySplit="3" topLeftCell="C4" activePane="bottomRight" state="frozen"/>
      <selection activeCell="E28" sqref="E28"/>
      <selection pane="topRight" activeCell="E28" sqref="E28"/>
      <selection pane="bottomLeft" activeCell="E28" sqref="E28"/>
      <selection pane="bottomRight" activeCell="W3" sqref="W1:Y1048576"/>
    </sheetView>
  </sheetViews>
  <sheetFormatPr defaultColWidth="9.109375" defaultRowHeight="13.8" outlineLevelCol="1"/>
  <cols>
    <col min="1" max="1" width="65.6640625" style="5" customWidth="1"/>
    <col min="2" max="2" width="32.6640625" style="97" customWidth="1"/>
    <col min="3" max="3" width="20.44140625" style="97" customWidth="1"/>
    <col min="4" max="4" width="25.6640625" style="5" customWidth="1"/>
    <col min="5" max="5" width="40.6640625" style="5" customWidth="1" collapsed="1"/>
    <col min="6" max="6" width="14" style="5" hidden="1" customWidth="1" outlineLevel="1"/>
    <col min="7" max="7" width="10.88671875" style="5" hidden="1" customWidth="1" outlineLevel="1"/>
    <col min="8" max="8" width="18.44140625" style="5" hidden="1" customWidth="1" outlineLevel="1"/>
    <col min="9" max="9" width="13.109375" style="5" hidden="1" customWidth="1" outlineLevel="1"/>
    <col min="10" max="10" width="7.88671875" style="5" hidden="1" customWidth="1" outlineLevel="1"/>
    <col min="11" max="11" width="13.33203125" style="5" hidden="1" customWidth="1" outlineLevel="1"/>
    <col min="12" max="12" width="11.109375" style="5" hidden="1" customWidth="1" outlineLevel="1"/>
    <col min="13" max="13" width="15.33203125" style="5" hidden="1" customWidth="1" outlineLevel="1"/>
    <col min="14" max="14" width="12.33203125" style="5" hidden="1" customWidth="1" outlineLevel="1"/>
    <col min="15" max="15" width="12.6640625" style="5" customWidth="1"/>
    <col min="16" max="16" width="14.6640625" style="5" customWidth="1"/>
    <col min="17" max="17" width="11.109375" style="5" customWidth="1"/>
    <col min="18" max="18" width="12.6640625" style="5" customWidth="1"/>
    <col min="19" max="19" width="13.6640625" style="5" customWidth="1"/>
    <col min="20" max="20" width="12.5546875" style="5" customWidth="1"/>
    <col min="21" max="21" width="14.6640625" style="5" customWidth="1"/>
    <col min="22" max="22" width="18.5546875" style="5" customWidth="1"/>
    <col min="23" max="16384" width="9.109375" style="5"/>
  </cols>
  <sheetData>
    <row r="1" spans="1:22" ht="30" customHeight="1">
      <c r="A1" s="399" t="s">
        <v>350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</row>
    <row r="2" spans="1:22" s="106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</row>
    <row r="3" spans="1:22" s="106" customFormat="1" ht="78.75" customHeight="1" thickBot="1">
      <c r="A3" s="359"/>
      <c r="B3" s="359"/>
      <c r="C3" s="359"/>
      <c r="D3" s="359"/>
      <c r="E3" s="139" t="s">
        <v>21</v>
      </c>
      <c r="F3" s="139" t="s">
        <v>14</v>
      </c>
      <c r="G3" s="139" t="s">
        <v>6</v>
      </c>
      <c r="H3" s="139" t="s">
        <v>7</v>
      </c>
      <c r="I3" s="139" t="s">
        <v>13</v>
      </c>
      <c r="J3" s="139" t="s">
        <v>12</v>
      </c>
      <c r="K3" s="139" t="s">
        <v>11</v>
      </c>
      <c r="L3" s="139" t="s">
        <v>9</v>
      </c>
      <c r="M3" s="139" t="s">
        <v>16</v>
      </c>
      <c r="N3" s="139" t="s">
        <v>17</v>
      </c>
      <c r="O3" s="139" t="s">
        <v>2</v>
      </c>
      <c r="P3" s="139" t="s">
        <v>34</v>
      </c>
      <c r="Q3" s="139" t="s">
        <v>37</v>
      </c>
      <c r="R3" s="139" t="s">
        <v>36</v>
      </c>
      <c r="S3" s="139" t="s">
        <v>29</v>
      </c>
      <c r="T3" s="139" t="s">
        <v>3</v>
      </c>
      <c r="U3" s="400"/>
      <c r="V3" s="405"/>
    </row>
    <row r="4" spans="1:22" ht="270" customHeight="1" thickBot="1">
      <c r="A4" s="140"/>
      <c r="B4" s="161" t="s">
        <v>349</v>
      </c>
      <c r="C4" s="204">
        <f>VLOOKUP(B4,Данные!A:Z,26,FALSE)</f>
        <v>4001</v>
      </c>
      <c r="D4" s="162" t="s">
        <v>352</v>
      </c>
      <c r="E4" s="153" t="str">
        <f>CONCATENATE(CONCATENATE($F$3,": ",$F4,CHAR(10),$G$3,": ",$G4,CHAR(10),$H$3,": ",$H4,CHAR(10),$I$3,": ",$I4,CHAR(10),$J$3,": ",$J4,CHAR(10),$K$3,": ",$K4,CHAR(10),$L$3,": ",$L4,CHAR(10)),"*Цветовая темп.: 5000К (по умолчанию), 3000К, 4000К (опционально)")</f>
        <v>КСС: Ш (широкая), осевая,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4" s="153" t="str">
        <f>VLOOKUP($B4,Данные!$A$1:$U$1009,6,FALSE)</f>
        <v>Ш (широкая), осевая, 30*120 гр</v>
      </c>
      <c r="G4" s="153" t="str">
        <f>VLOOKUP($B4,Данные!$A$1:$U$1009,8,FALSE)</f>
        <v>Samsung LH351</v>
      </c>
      <c r="H4" s="153" t="str">
        <f>VLOOKUP($B4,Данные!$A$1:$U$1009,12,FALSE)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4" s="153" t="str">
        <f>VLOOKUP($B4,Данные!$A$1:$U$1009,4,FALSE)</f>
        <v>176-264В AС</v>
      </c>
      <c r="J4" s="153">
        <f>VLOOKUP($B4,Данные!$A$1:$U$1009,5,FALSE)</f>
        <v>0.95</v>
      </c>
      <c r="K4" s="153" t="str">
        <f>VLOOKUP($B4,Данные!$A$1:$U$1009,13,FALSE)</f>
        <v xml:space="preserve"> -60°...+50° С</v>
      </c>
      <c r="L4" s="153" t="str">
        <f>VLOOKUP($B4,Данные!$A$1:$U$1009,14,FALSE)</f>
        <v>100 000 ч</v>
      </c>
      <c r="M4" s="153" t="str">
        <f>VLOOKUP($B4,Данные!$A$1:$U$1009,10,FALSE)</f>
        <v>1000х103х154</v>
      </c>
      <c r="N4" s="153">
        <f>VLOOKUP($B4,Данные!$A$1:$U$1009,11,FALSE)</f>
        <v>0</v>
      </c>
      <c r="O4" s="154" t="str">
        <f>VLOOKUP($B4,Данные!$A$1:$U$1009,9,FALSE)</f>
        <v>-</v>
      </c>
      <c r="P4" s="155">
        <f>VLOOKUP($B4,Данные!$A$1:$U$1009,2,FALSE)</f>
        <v>145</v>
      </c>
      <c r="Q4" s="156">
        <f>VLOOKUP($B4,Данные!$A$1:$U$1009,3,FALSE)</f>
        <v>21025</v>
      </c>
      <c r="R4" s="157">
        <f t="shared" ref="R4" si="0">Q4/P4</f>
        <v>145</v>
      </c>
      <c r="S4" s="158" t="str">
        <f>VLOOKUP($B4,Данные!$A$1:$U$1009,15,FALSE)</f>
        <v>5000К 4000К* 3000К*</v>
      </c>
      <c r="T4" s="158">
        <f>VLOOKUP($B4,Данные!$A$1:$U$1009,7,FALSE)</f>
        <v>67</v>
      </c>
      <c r="U4" s="159" t="str">
        <f>VLOOKUP($B4,Данные!$A$1:$U$1009,16,FALSE)</f>
        <v>5 лет</v>
      </c>
      <c r="V4" s="409">
        <v>11870</v>
      </c>
    </row>
    <row r="5" spans="1:22" ht="270" customHeight="1" thickBot="1">
      <c r="A5" s="278"/>
      <c r="B5" s="161" t="s">
        <v>518</v>
      </c>
      <c r="C5" s="204">
        <f>VLOOKUP(B5,Данные!A:Z,26,FALSE)</f>
        <v>4002</v>
      </c>
      <c r="D5" s="162" t="s">
        <v>352</v>
      </c>
      <c r="E5" s="153" t="str">
        <f>CONCATENATE(CONCATENATE($F$3,": ",$F5,CHAR(10),$G$3,": ",$G5,CHAR(10),$H$3,": ",$H5,CHAR(10),$I$3,": ",$I5,CHAR(10),$J$3,": ",$J5,CHAR(10),$K$3,": ",$K5,CHAR(10),$L$3,": ",$L5,CHAR(10)),"*Цветовая темп.: 5000К (по умолчанию), 3000К, 4000К (опционально)")</f>
        <v>КСС: Ш (широкая), осевая, 30*120 гр
Светодиоды: Samsung LH351
Материал: Экструдированный алюминиевый профиль (анодированный), вторичная оптика из акрила (ПММА) с  силиконовой прокладкой
Рабочее напряжение: 176-264В AС
Сos φ: 0,95
Рабочая t°:  -60°...+50° С
Срок службы: 100 000 ч
*Цветовая темп.: 5000К (по умолчанию), 3000К, 4000К (опционально)</v>
      </c>
      <c r="F5" s="153" t="str">
        <f>VLOOKUP($B5,Данные!$A$1:$U$1009,6,FALSE)</f>
        <v>Ш (широкая), осевая, 30*120 гр</v>
      </c>
      <c r="G5" s="153" t="str">
        <f>VLOOKUP($B5,Данные!$A$1:$U$1009,8,FALSE)</f>
        <v>Samsung LH351</v>
      </c>
      <c r="H5" s="153" t="str">
        <f>VLOOKUP($B5,Данные!$A$1:$U$1009,12,FALSE)</f>
        <v>Экструдированный алюминиевый профиль (анодированный), вторичная оптика из акрила (ПММА) с  силиконовой прокладкой</v>
      </c>
      <c r="I5" s="153" t="str">
        <f>VLOOKUP($B5,Данные!$A$1:$U$1009,4,FALSE)</f>
        <v>176-264В AС</v>
      </c>
      <c r="J5" s="153">
        <f>VLOOKUP($B5,Данные!$A$1:$U$1009,5,FALSE)</f>
        <v>0.95</v>
      </c>
      <c r="K5" s="153" t="str">
        <f>VLOOKUP($B5,Данные!$A$1:$U$1009,13,FALSE)</f>
        <v xml:space="preserve"> -60°...+50° С</v>
      </c>
      <c r="L5" s="153" t="str">
        <f>VLOOKUP($B5,Данные!$A$1:$U$1009,14,FALSE)</f>
        <v>100 000 ч</v>
      </c>
      <c r="M5" s="153" t="str">
        <f>VLOOKUP($B5,Данные!$A$1:$U$1009,10,FALSE)</f>
        <v>800х103х154</v>
      </c>
      <c r="N5" s="153">
        <f>VLOOKUP($B5,Данные!$A$1:$U$1009,11,FALSE)</f>
        <v>0</v>
      </c>
      <c r="O5" s="154" t="str">
        <f>VLOOKUP($B5,Данные!$A$1:$U$1009,9,FALSE)</f>
        <v>-</v>
      </c>
      <c r="P5" s="155">
        <f>VLOOKUP($B5,Данные!$A$1:$U$1009,2,FALSE)</f>
        <v>115</v>
      </c>
      <c r="Q5" s="156">
        <f>VLOOKUP($B5,Данные!$A$1:$U$1009,3,FALSE)</f>
        <v>16675</v>
      </c>
      <c r="R5" s="157">
        <f t="shared" ref="R5" si="1">Q5/P5</f>
        <v>145</v>
      </c>
      <c r="S5" s="158" t="str">
        <f>VLOOKUP($B5,Данные!$A$1:$U$1009,15,FALSE)</f>
        <v>5000К 4000К* 3000К*</v>
      </c>
      <c r="T5" s="158">
        <f>VLOOKUP($B5,Данные!$A$1:$U$1009,7,FALSE)</f>
        <v>67</v>
      </c>
      <c r="U5" s="159" t="str">
        <f>VLOOKUP($B5,Данные!$A$1:$U$1009,16,FALSE)</f>
        <v>5 лет</v>
      </c>
      <c r="V5" s="409">
        <v>9655</v>
      </c>
    </row>
    <row r="6" spans="1:22" s="111" customFormat="1" ht="60" customHeight="1">
      <c r="A6" s="396" t="s">
        <v>283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</row>
  </sheetData>
  <mergeCells count="9">
    <mergeCell ref="A6:V6"/>
    <mergeCell ref="A1:V1"/>
    <mergeCell ref="A2:A3"/>
    <mergeCell ref="B2:B3"/>
    <mergeCell ref="D2:D3"/>
    <mergeCell ref="E2:T2"/>
    <mergeCell ref="U2:U3"/>
    <mergeCell ref="V2:V3"/>
    <mergeCell ref="C2:C3"/>
  </mergeCells>
  <pageMargins left="0.25" right="0.25" top="0.75" bottom="0.75" header="0.3" footer="0.3"/>
  <pageSetup paperSize="9" scale="49" fitToHeight="0" orientation="landscape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  <pageSetUpPr fitToPage="1"/>
  </sheetPr>
  <dimension ref="A1:V31"/>
  <sheetViews>
    <sheetView view="pageBreakPreview" zoomScale="50" zoomScaleNormal="65" zoomScaleSheetLayoutView="50" workbookViewId="0">
      <pane xSplit="2" ySplit="3" topLeftCell="C4" activePane="bottomRight" state="frozen"/>
      <selection activeCell="E28" sqref="E28"/>
      <selection pane="topRight" activeCell="E28" sqref="E28"/>
      <selection pane="bottomLeft" activeCell="E28" sqref="E28"/>
      <selection pane="bottomRight" activeCell="W3" sqref="W1:Y1048576"/>
    </sheetView>
  </sheetViews>
  <sheetFormatPr defaultColWidth="9.109375" defaultRowHeight="13.8" outlineLevelCol="1"/>
  <cols>
    <col min="1" max="1" width="65.6640625" style="5" customWidth="1"/>
    <col min="2" max="2" width="32.6640625" style="97" customWidth="1"/>
    <col min="3" max="3" width="20.88671875" style="97" customWidth="1"/>
    <col min="4" max="4" width="25.6640625" style="5" customWidth="1"/>
    <col min="5" max="5" width="40.6640625" style="5" customWidth="1" collapsed="1"/>
    <col min="6" max="6" width="14" style="5" hidden="1" customWidth="1" outlineLevel="1"/>
    <col min="7" max="7" width="10.88671875" style="5" hidden="1" customWidth="1" outlineLevel="1"/>
    <col min="8" max="8" width="18.44140625" style="5" hidden="1" customWidth="1" outlineLevel="1"/>
    <col min="9" max="9" width="13.109375" style="5" hidden="1" customWidth="1" outlineLevel="1"/>
    <col min="10" max="10" width="7.88671875" style="5" hidden="1" customWidth="1" outlineLevel="1"/>
    <col min="11" max="11" width="13.33203125" style="5" hidden="1" customWidth="1" outlineLevel="1"/>
    <col min="12" max="12" width="11.109375" style="5" hidden="1" customWidth="1" outlineLevel="1"/>
    <col min="13" max="13" width="15.33203125" style="5" hidden="1" customWidth="1" outlineLevel="1"/>
    <col min="14" max="14" width="12.33203125" style="5" hidden="1" customWidth="1" outlineLevel="1"/>
    <col min="15" max="15" width="12.6640625" style="5" customWidth="1"/>
    <col min="16" max="16" width="14.6640625" style="5" customWidth="1"/>
    <col min="17" max="17" width="11.109375" style="5" customWidth="1"/>
    <col min="18" max="18" width="12.6640625" style="5" customWidth="1"/>
    <col min="19" max="19" width="13.6640625" style="5" customWidth="1"/>
    <col min="20" max="20" width="12.5546875" style="5" customWidth="1"/>
    <col min="21" max="21" width="14.6640625" style="5" customWidth="1"/>
    <col min="22" max="22" width="20.5546875" style="5" customWidth="1"/>
    <col min="23" max="16384" width="9.109375" style="5"/>
  </cols>
  <sheetData>
    <row r="1" spans="1:22" ht="30" customHeight="1">
      <c r="A1" s="401" t="s">
        <v>353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</row>
    <row r="2" spans="1:22" s="106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</row>
    <row r="3" spans="1:22" s="106" customFormat="1" ht="78.75" customHeight="1" thickBot="1">
      <c r="A3" s="359"/>
      <c r="B3" s="359"/>
      <c r="C3" s="359"/>
      <c r="D3" s="359"/>
      <c r="E3" s="138" t="s">
        <v>21</v>
      </c>
      <c r="F3" s="138" t="s">
        <v>14</v>
      </c>
      <c r="G3" s="138" t="s">
        <v>6</v>
      </c>
      <c r="H3" s="138" t="s">
        <v>7</v>
      </c>
      <c r="I3" s="138" t="s">
        <v>13</v>
      </c>
      <c r="J3" s="138" t="s">
        <v>12</v>
      </c>
      <c r="K3" s="138" t="s">
        <v>11</v>
      </c>
      <c r="L3" s="138" t="s">
        <v>9</v>
      </c>
      <c r="M3" s="138" t="s">
        <v>16</v>
      </c>
      <c r="N3" s="138" t="s">
        <v>17</v>
      </c>
      <c r="O3" s="138" t="s">
        <v>2</v>
      </c>
      <c r="P3" s="138" t="s">
        <v>34</v>
      </c>
      <c r="Q3" s="138" t="s">
        <v>37</v>
      </c>
      <c r="R3" s="138" t="s">
        <v>36</v>
      </c>
      <c r="S3" s="138" t="s">
        <v>29</v>
      </c>
      <c r="T3" s="138" t="s">
        <v>3</v>
      </c>
      <c r="U3" s="364"/>
      <c r="V3" s="405"/>
    </row>
    <row r="4" spans="1:22" ht="90" customHeight="1">
      <c r="A4" s="354"/>
      <c r="B4" s="231" t="s">
        <v>419</v>
      </c>
      <c r="C4" s="198">
        <f>VLOOKUP(B4,Данные!A1:Z358,26,FALSE)</f>
        <v>6001</v>
      </c>
      <c r="D4" s="342" t="s">
        <v>354</v>
      </c>
      <c r="E4" s="344" t="str">
        <f>CONCATENATE(CONCATENATE($F$3,": ",$F4,CHAR(10),$G$3,": ",$G4,CHAR(10),$H$3,": ",$H4,CHAR(10),$I$3,": ",$I4,CHAR(10),$J$3,": ",$J4,CHAR(10),$K$3,": ",$K4,CHAR(10),$L$3,": ",$L4,CHAR(10)),"*Цветовая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4" s="135" t="str">
        <f>VLOOKUP($B4,Данные!$A$1:$U$1009,6,FALSE)</f>
        <v>М (равномерная)</v>
      </c>
      <c r="G4" s="135" t="str">
        <f>VLOOKUP($B4,Данные!$A$1:$U$1009,8,FALSE)</f>
        <v>Samsung LM281</v>
      </c>
      <c r="H4" s="135" t="str">
        <f>VLOOKUP($B4,Данные!$A$1:$U$1009,12,FALSE)</f>
        <v>Рассеиватель - акрил (ПММА), основание из термостойкого пластика</v>
      </c>
      <c r="I4" s="135" t="str">
        <f>VLOOKUP($B4,Данные!$A$1:$U$1009,4,FALSE)</f>
        <v>176-264В AС</v>
      </c>
      <c r="J4" s="135">
        <f>VLOOKUP($B4,Данные!$A$1:$U$1009,5,FALSE)</f>
        <v>0.95</v>
      </c>
      <c r="K4" s="135" t="str">
        <f>VLOOKUP($B4,Данные!$A$1:$U$1009,13,FALSE)</f>
        <v xml:space="preserve"> -60°...+50° С</v>
      </c>
      <c r="L4" s="135" t="str">
        <f>VLOOKUP($B4,Данные!$A$1:$U$1009,14,FALSE)</f>
        <v>100 000 ч</v>
      </c>
      <c r="M4" s="135" t="str">
        <f>VLOOKUP($B4,Данные!$A$1:$U$1009,10,FALSE)</f>
        <v>300х300х315 (посадочное отв. 64 мм)</v>
      </c>
      <c r="N4" s="135">
        <f>VLOOKUP($B4,Данные!$A$1:$U$1009,11,FALSE)</f>
        <v>0</v>
      </c>
      <c r="O4" s="24" t="str">
        <f>VLOOKUP($B4,Данные!$A$1:$U$1009,9,FALSE)</f>
        <v>-</v>
      </c>
      <c r="P4" s="21">
        <f>VLOOKUP($B4,Данные!$A$1:$U$1009,2,FALSE)</f>
        <v>30</v>
      </c>
      <c r="Q4" s="22">
        <f>VLOOKUP($B4,Данные!$A$1:$U$1009,3,FALSE)</f>
        <v>3750</v>
      </c>
      <c r="R4" s="23">
        <f>Q4/P4</f>
        <v>125</v>
      </c>
      <c r="S4" s="37" t="str">
        <f>VLOOKUP($B4,Данные!$A$1:$U$1009,15,FALSE)</f>
        <v>5000К 4000К* 3000К*</v>
      </c>
      <c r="T4" s="37">
        <f>VLOOKUP($B4,Данные!$A$1:$U$1009,7,FALSE)</f>
        <v>67</v>
      </c>
      <c r="U4" s="108" t="str">
        <f>VLOOKUP($B4,Данные!$A$1:$U$1009,16,FALSE)</f>
        <v>3 года</v>
      </c>
      <c r="V4" s="406">
        <v>3835</v>
      </c>
    </row>
    <row r="5" spans="1:22" ht="90" customHeight="1">
      <c r="A5" s="355"/>
      <c r="B5" s="232" t="s">
        <v>420</v>
      </c>
      <c r="C5" s="199">
        <f>VLOOKUP(B5,Данные!A2:Z359,26,FALSE)</f>
        <v>6002</v>
      </c>
      <c r="D5" s="337"/>
      <c r="E5" s="338"/>
      <c r="F5" s="136" t="str">
        <f>VLOOKUP($B5,Данные!$A$1:$U$1009,6,FALSE)</f>
        <v>М (равномерная)</v>
      </c>
      <c r="G5" s="136" t="str">
        <f>VLOOKUP($B5,Данные!$A$1:$U$1009,8,FALSE)</f>
        <v>Samsung LM281</v>
      </c>
      <c r="H5" s="136" t="str">
        <f>VLOOKUP($B5,Данные!$A$1:$U$1009,12,FALSE)</f>
        <v>Рассеиватель - акрил (ПММА), основание из термостойкого пластика</v>
      </c>
      <c r="I5" s="136" t="str">
        <f>VLOOKUP($B5,Данные!$A$1:$U$1009,4,FALSE)</f>
        <v>176-264В AС</v>
      </c>
      <c r="J5" s="136">
        <f>VLOOKUP($B5,Данные!$A$1:$U$1009,5,FALSE)</f>
        <v>0.95</v>
      </c>
      <c r="K5" s="136" t="str">
        <f>VLOOKUP($B5,Данные!$A$1:$U$1009,13,FALSE)</f>
        <v xml:space="preserve"> -60°...+50° С</v>
      </c>
      <c r="L5" s="136" t="str">
        <f>VLOOKUP($B5,Данные!$A$1:$U$1009,14,FALSE)</f>
        <v>100 000 ч</v>
      </c>
      <c r="M5" s="136" t="str">
        <f>VLOOKUP($B5,Данные!$A$1:$U$1009,10,FALSE)</f>
        <v>300х300х315 (посадочное отв. 64 мм)</v>
      </c>
      <c r="N5" s="136">
        <f>VLOOKUP($B5,Данные!$A$1:$U$1009,11,FALSE)</f>
        <v>0</v>
      </c>
      <c r="O5" s="32" t="str">
        <f>VLOOKUP($B5,Данные!$A$1:$U$1009,9,FALSE)</f>
        <v>-</v>
      </c>
      <c r="P5" s="29">
        <f>VLOOKUP($B5,Данные!$A$1:$U$1009,2,FALSE)</f>
        <v>40</v>
      </c>
      <c r="Q5" s="30">
        <f>VLOOKUP($B5,Данные!$A$1:$U$1009,3,FALSE)</f>
        <v>4800</v>
      </c>
      <c r="R5" s="31">
        <f t="shared" ref="R5:R30" si="0">Q5/P5</f>
        <v>120</v>
      </c>
      <c r="S5" s="36" t="str">
        <f>VLOOKUP($B5,Данные!$A$1:$U$1009,15,FALSE)</f>
        <v>5000К 4000К* 3000К*</v>
      </c>
      <c r="T5" s="36">
        <f>VLOOKUP($B5,Данные!$A$1:$U$1009,7,FALSE)</f>
        <v>67</v>
      </c>
      <c r="U5" s="109" t="str">
        <f>VLOOKUP($B5,Данные!$A$1:$U$1009,16,FALSE)</f>
        <v>3 года</v>
      </c>
      <c r="V5" s="407">
        <v>4055</v>
      </c>
    </row>
    <row r="6" spans="1:22" ht="90" customHeight="1" thickBot="1">
      <c r="A6" s="356"/>
      <c r="B6" s="233" t="s">
        <v>421</v>
      </c>
      <c r="C6" s="199">
        <f>VLOOKUP(B6,Данные!A3:Z360,26,FALSE)</f>
        <v>6003</v>
      </c>
      <c r="D6" s="343"/>
      <c r="E6" s="345"/>
      <c r="F6" s="137" t="str">
        <f>VLOOKUP($B6,Данные!$A$1:$U$1009,6,FALSE)</f>
        <v>М (равномерная)</v>
      </c>
      <c r="G6" s="137" t="str">
        <f>VLOOKUP($B6,Данные!$A$1:$U$1009,8,FALSE)</f>
        <v>Samsung LM281</v>
      </c>
      <c r="H6" s="137" t="str">
        <f>VLOOKUP($B6,Данные!$A$1:$U$1009,12,FALSE)</f>
        <v>Рассеиватель - акрил (ПММА), основание из термостойкого пластика</v>
      </c>
      <c r="I6" s="137" t="str">
        <f>VLOOKUP($B6,Данные!$A$1:$U$1009,4,FALSE)</f>
        <v>176-264В AС</v>
      </c>
      <c r="J6" s="137">
        <f>VLOOKUP($B6,Данные!$A$1:$U$1009,5,FALSE)</f>
        <v>0.95</v>
      </c>
      <c r="K6" s="137" t="str">
        <f>VLOOKUP($B6,Данные!$A$1:$U$1009,13,FALSE)</f>
        <v xml:space="preserve"> -60°...+50° С</v>
      </c>
      <c r="L6" s="137" t="str">
        <f>VLOOKUP($B6,Данные!$A$1:$U$1009,14,FALSE)</f>
        <v>100 000 ч</v>
      </c>
      <c r="M6" s="137" t="str">
        <f>VLOOKUP($B6,Данные!$A$1:$U$1009,10,FALSE)</f>
        <v>300х300х315 (посадочное отв. 64 мм)</v>
      </c>
      <c r="N6" s="137">
        <f>VLOOKUP($B6,Данные!$A$1:$U$1009,11,FALSE)</f>
        <v>0</v>
      </c>
      <c r="O6" s="28" t="str">
        <f>VLOOKUP($B6,Данные!$A$1:$U$1009,9,FALSE)</f>
        <v>-</v>
      </c>
      <c r="P6" s="25">
        <f>VLOOKUP($B6,Данные!$A$1:$U$1009,2,FALSE)</f>
        <v>50</v>
      </c>
      <c r="Q6" s="26">
        <f>VLOOKUP($B6,Данные!$A$1:$U$1009,3,FALSE)</f>
        <v>5750</v>
      </c>
      <c r="R6" s="27">
        <f t="shared" si="0"/>
        <v>115</v>
      </c>
      <c r="S6" s="38" t="str">
        <f>VLOOKUP($B6,Данные!$A$1:$U$1009,15,FALSE)</f>
        <v>5000К 4000К* 3000К*</v>
      </c>
      <c r="T6" s="38">
        <f>VLOOKUP($B6,Данные!$A$1:$U$1009,7,FALSE)</f>
        <v>67</v>
      </c>
      <c r="U6" s="110" t="str">
        <f>VLOOKUP($B6,Данные!$A$1:$U$1009,16,FALSE)</f>
        <v>3 года</v>
      </c>
      <c r="V6" s="408">
        <v>4055</v>
      </c>
    </row>
    <row r="7" spans="1:22" ht="90" customHeight="1">
      <c r="A7" s="354"/>
      <c r="B7" s="231" t="s">
        <v>422</v>
      </c>
      <c r="C7" s="198">
        <f>VLOOKUP(B7,Данные!A4:Z361,26,FALSE)</f>
        <v>6004</v>
      </c>
      <c r="D7" s="342" t="s">
        <v>354</v>
      </c>
      <c r="E7" s="344" t="str">
        <f>CONCATENATE(CONCATENATE($F$3,": ",$F7,CHAR(10),$G$3,": ",$G7,CHAR(10),$H$3,": ",$H7,CHAR(10),$I$3,": ",$I7,CHAR(10),$J$3,": ",$J7,CHAR(10),$K$3,": ",$K7,CHAR(10),$L$3,": ",$L7,CHAR(10)),"*Цветовая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7" s="147" t="str">
        <f>VLOOKUP($B7,Данные!$A$1:$U$1009,6,FALSE)</f>
        <v>М (равномерная)</v>
      </c>
      <c r="G7" s="147" t="str">
        <f>VLOOKUP($B7,Данные!$A$1:$U$1009,8,FALSE)</f>
        <v>Samsung LM281</v>
      </c>
      <c r="H7" s="147" t="str">
        <f>VLOOKUP($B7,Данные!$A$1:$U$1009,12,FALSE)</f>
        <v>Рассеиватель - акрил (ПММА), основание из термостойкого пластика</v>
      </c>
      <c r="I7" s="147" t="str">
        <f>VLOOKUP($B7,Данные!$A$1:$U$1009,4,FALSE)</f>
        <v>176-264В AС</v>
      </c>
      <c r="J7" s="147">
        <f>VLOOKUP($B7,Данные!$A$1:$U$1009,5,FALSE)</f>
        <v>0.95</v>
      </c>
      <c r="K7" s="147" t="str">
        <f>VLOOKUP($B7,Данные!$A$1:$U$1009,13,FALSE)</f>
        <v xml:space="preserve"> -60°...+50° С</v>
      </c>
      <c r="L7" s="147" t="str">
        <f>VLOOKUP($B7,Данные!$A$1:$U$1009,14,FALSE)</f>
        <v>100 000 ч</v>
      </c>
      <c r="M7" s="147" t="str">
        <f>VLOOKUP($B7,Данные!$A$1:$U$1009,10,FALSE)</f>
        <v>300х300х315 (посадочное отв. 64 мм)</v>
      </c>
      <c r="N7" s="147">
        <f>VLOOKUP($B7,Данные!$A$1:$U$1009,11,FALSE)</f>
        <v>0</v>
      </c>
      <c r="O7" s="24" t="str">
        <f>VLOOKUP($B7,Данные!$A$1:$U$1009,9,FALSE)</f>
        <v>-</v>
      </c>
      <c r="P7" s="21">
        <f>VLOOKUP($B7,Данные!$A$1:$U$1009,2,FALSE)</f>
        <v>30</v>
      </c>
      <c r="Q7" s="22">
        <f>VLOOKUP($B7,Данные!$A$1:$U$1009,3,FALSE)</f>
        <v>3750</v>
      </c>
      <c r="R7" s="23">
        <f>Q7/P7</f>
        <v>125</v>
      </c>
      <c r="S7" s="37" t="str">
        <f>VLOOKUP($B7,Данные!$A$1:$U$1009,15,FALSE)</f>
        <v>5000К 4000К* 3000К*</v>
      </c>
      <c r="T7" s="37">
        <f>VLOOKUP($B7,Данные!$A$1:$U$1009,7,FALSE)</f>
        <v>67</v>
      </c>
      <c r="U7" s="108" t="str">
        <f>VLOOKUP($B7,Данные!$A$1:$U$1009,16,FALSE)</f>
        <v>3 года</v>
      </c>
      <c r="V7" s="406">
        <v>4270</v>
      </c>
    </row>
    <row r="8" spans="1:22" ht="90" customHeight="1">
      <c r="A8" s="355"/>
      <c r="B8" s="232" t="s">
        <v>432</v>
      </c>
      <c r="C8" s="199">
        <f>VLOOKUP(B8,Данные!A5:Z362,26,FALSE)</f>
        <v>6005</v>
      </c>
      <c r="D8" s="337"/>
      <c r="E8" s="338"/>
      <c r="F8" s="149" t="str">
        <f>VLOOKUP($B8,Данные!$A$1:$U$1009,6,FALSE)</f>
        <v>М (равномерная)</v>
      </c>
      <c r="G8" s="149" t="str">
        <f>VLOOKUP($B8,Данные!$A$1:$U$1009,8,FALSE)</f>
        <v>Samsung LM281</v>
      </c>
      <c r="H8" s="149" t="str">
        <f>VLOOKUP($B8,Данные!$A$1:$U$1009,12,FALSE)</f>
        <v>Рассеиватель - акрил (ПММА), основание из термостойкого пластика</v>
      </c>
      <c r="I8" s="149" t="str">
        <f>VLOOKUP($B8,Данные!$A$1:$U$1009,4,FALSE)</f>
        <v>176-264В AС</v>
      </c>
      <c r="J8" s="149">
        <f>VLOOKUP($B8,Данные!$A$1:$U$1009,5,FALSE)</f>
        <v>0.95</v>
      </c>
      <c r="K8" s="149" t="str">
        <f>VLOOKUP($B8,Данные!$A$1:$U$1009,13,FALSE)</f>
        <v xml:space="preserve"> -60°...+50° С</v>
      </c>
      <c r="L8" s="149" t="str">
        <f>VLOOKUP($B8,Данные!$A$1:$U$1009,14,FALSE)</f>
        <v>100 000 ч</v>
      </c>
      <c r="M8" s="149" t="str">
        <f>VLOOKUP($B8,Данные!$A$1:$U$1009,10,FALSE)</f>
        <v>300х300х315 (посадочное отв. 64 мм)</v>
      </c>
      <c r="N8" s="149">
        <f>VLOOKUP($B8,Данные!$A$1:$U$1009,11,FALSE)</f>
        <v>0</v>
      </c>
      <c r="O8" s="151" t="str">
        <f>VLOOKUP($B8,Данные!$A$1:$U$1009,9,FALSE)</f>
        <v>-</v>
      </c>
      <c r="P8" s="29">
        <f>VLOOKUP($B8,Данные!$A$1:$U$1009,2,FALSE)</f>
        <v>40</v>
      </c>
      <c r="Q8" s="30">
        <f>VLOOKUP($B8,Данные!$A$1:$U$1009,3,FALSE)</f>
        <v>4800</v>
      </c>
      <c r="R8" s="31">
        <f t="shared" ref="R8:R9" si="1">Q8/P8</f>
        <v>120</v>
      </c>
      <c r="S8" s="36" t="str">
        <f>VLOOKUP($B8,Данные!$A$1:$U$1009,15,FALSE)</f>
        <v>5000К 4000К* 3000К*</v>
      </c>
      <c r="T8" s="36">
        <f>VLOOKUP($B8,Данные!$A$1:$U$1009,7,FALSE)</f>
        <v>67</v>
      </c>
      <c r="U8" s="109" t="str">
        <f>VLOOKUP($B8,Данные!$A$1:$U$1009,16,FALSE)</f>
        <v>3 года</v>
      </c>
      <c r="V8" s="407">
        <v>4490</v>
      </c>
    </row>
    <row r="9" spans="1:22" ht="90" customHeight="1" thickBot="1">
      <c r="A9" s="356"/>
      <c r="B9" s="233" t="s">
        <v>433</v>
      </c>
      <c r="C9" s="199">
        <f>VLOOKUP(B9,Данные!A6:Z363,26,FALSE)</f>
        <v>6006</v>
      </c>
      <c r="D9" s="343"/>
      <c r="E9" s="345"/>
      <c r="F9" s="148" t="str">
        <f>VLOOKUP($B9,Данные!$A$1:$U$1009,6,FALSE)</f>
        <v>М (равномерная)</v>
      </c>
      <c r="G9" s="148" t="str">
        <f>VLOOKUP($B9,Данные!$A$1:$U$1009,8,FALSE)</f>
        <v>Samsung LM281</v>
      </c>
      <c r="H9" s="148" t="str">
        <f>VLOOKUP($B9,Данные!$A$1:$U$1009,12,FALSE)</f>
        <v>Рассеиватель - акрил (ПММА), основание из термостойкого пластика</v>
      </c>
      <c r="I9" s="148" t="str">
        <f>VLOOKUP($B9,Данные!$A$1:$U$1009,4,FALSE)</f>
        <v>176-264В AС</v>
      </c>
      <c r="J9" s="148">
        <f>VLOOKUP($B9,Данные!$A$1:$U$1009,5,FALSE)</f>
        <v>0.95</v>
      </c>
      <c r="K9" s="148" t="str">
        <f>VLOOKUP($B9,Данные!$A$1:$U$1009,13,FALSE)</f>
        <v xml:space="preserve"> -60°...+50° С</v>
      </c>
      <c r="L9" s="148" t="str">
        <f>VLOOKUP($B9,Данные!$A$1:$U$1009,14,FALSE)</f>
        <v>100 000 ч</v>
      </c>
      <c r="M9" s="148" t="str">
        <f>VLOOKUP($B9,Данные!$A$1:$U$1009,10,FALSE)</f>
        <v>300х300х315 (посадочное отв. 64 мм)</v>
      </c>
      <c r="N9" s="148">
        <f>VLOOKUP($B9,Данные!$A$1:$U$1009,11,FALSE)</f>
        <v>0</v>
      </c>
      <c r="O9" s="152" t="str">
        <f>VLOOKUP($B9,Данные!$A$1:$U$1009,9,FALSE)</f>
        <v>-</v>
      </c>
      <c r="P9" s="25">
        <f>VLOOKUP($B9,Данные!$A$1:$U$1009,2,FALSE)</f>
        <v>50</v>
      </c>
      <c r="Q9" s="26">
        <f>VLOOKUP($B9,Данные!$A$1:$U$1009,3,FALSE)</f>
        <v>5750</v>
      </c>
      <c r="R9" s="27">
        <f t="shared" si="1"/>
        <v>115</v>
      </c>
      <c r="S9" s="38" t="str">
        <f>VLOOKUP($B9,Данные!$A$1:$U$1009,15,FALSE)</f>
        <v>5000К 4000К* 3000К*</v>
      </c>
      <c r="T9" s="38">
        <f>VLOOKUP($B9,Данные!$A$1:$U$1009,7,FALSE)</f>
        <v>67</v>
      </c>
      <c r="U9" s="110" t="str">
        <f>VLOOKUP($B9,Данные!$A$1:$U$1009,16,FALSE)</f>
        <v>3 года</v>
      </c>
      <c r="V9" s="408">
        <v>4490</v>
      </c>
    </row>
    <row r="10" spans="1:22" ht="90" customHeight="1">
      <c r="A10" s="354"/>
      <c r="B10" s="231" t="s">
        <v>434</v>
      </c>
      <c r="C10" s="198">
        <f>VLOOKUP(B10,Данные!A7:Z364,26,FALSE)</f>
        <v>6007</v>
      </c>
      <c r="D10" s="342" t="s">
        <v>354</v>
      </c>
      <c r="E10" s="344" t="str">
        <f>CONCATENATE(CONCATENATE($F$3,": ",$F10,CHAR(10),$G$3,": ",$G10,CHAR(10),$H$3,": ",$H10,CHAR(10),$I$3,": ",$I10,CHAR(10),$J$3,": ",$J10,CHAR(10),$K$3,": ",$K10,CHAR(10),$L$3,": ",$L10,CHAR(10)),"*Цветовая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10" s="142" t="str">
        <f>VLOOKUP($B10,Данные!$A$1:$U$1009,6,FALSE)</f>
        <v>М (равномерная)</v>
      </c>
      <c r="G10" s="142" t="str">
        <f>VLOOKUP($B10,Данные!$A$1:$U$1009,8,FALSE)</f>
        <v>Samsung LM281</v>
      </c>
      <c r="H10" s="142" t="str">
        <f>VLOOKUP($B10,Данные!$A$1:$U$1009,12,FALSE)</f>
        <v>Рассеиватель - акрил (ПММА), основание из термостойкого пластика</v>
      </c>
      <c r="I10" s="142" t="str">
        <f>VLOOKUP($B10,Данные!$A$1:$U$1009,4,FALSE)</f>
        <v>176-264В AС</v>
      </c>
      <c r="J10" s="142">
        <f>VLOOKUP($B10,Данные!$A$1:$U$1009,5,FALSE)</f>
        <v>0.95</v>
      </c>
      <c r="K10" s="142" t="str">
        <f>VLOOKUP($B10,Данные!$A$1:$U$1009,13,FALSE)</f>
        <v xml:space="preserve"> -60°...+50° С</v>
      </c>
      <c r="L10" s="142" t="str">
        <f>VLOOKUP($B10,Данные!$A$1:$U$1009,14,FALSE)</f>
        <v>100 000 ч</v>
      </c>
      <c r="M10" s="142" t="str">
        <f>VLOOKUP($B10,Данные!$A$1:$U$1009,10,FALSE)</f>
        <v>400х400х415 (посадочное отв. 64 мм)</v>
      </c>
      <c r="N10" s="142">
        <f>VLOOKUP($B10,Данные!$A$1:$U$1009,11,FALSE)</f>
        <v>0</v>
      </c>
      <c r="O10" s="24" t="str">
        <f>VLOOKUP($B10,Данные!$A$1:$U$1009,9,FALSE)</f>
        <v>-</v>
      </c>
      <c r="P10" s="21">
        <f>VLOOKUP($B10,Данные!$A$1:$U$1009,2,FALSE)</f>
        <v>30</v>
      </c>
      <c r="Q10" s="22">
        <f>VLOOKUP($B10,Данные!$A$1:$U$1009,3,FALSE)</f>
        <v>3750</v>
      </c>
      <c r="R10" s="23">
        <f>Q10/P10</f>
        <v>125</v>
      </c>
      <c r="S10" s="37" t="str">
        <f>VLOOKUP($B10,Данные!$A$1:$U$1009,15,FALSE)</f>
        <v>5000К 4000К* 3000К*</v>
      </c>
      <c r="T10" s="37">
        <f>VLOOKUP($B10,Данные!$A$1:$U$1009,7,FALSE)</f>
        <v>67</v>
      </c>
      <c r="U10" s="108" t="str">
        <f>VLOOKUP($B10,Данные!$A$1:$U$1009,16,FALSE)</f>
        <v>3 года</v>
      </c>
      <c r="V10" s="406">
        <v>4765</v>
      </c>
    </row>
    <row r="11" spans="1:22" ht="90" customHeight="1">
      <c r="A11" s="355"/>
      <c r="B11" s="232" t="s">
        <v>435</v>
      </c>
      <c r="C11" s="199">
        <f>VLOOKUP(B11,Данные!A8:Z365,26,FALSE)</f>
        <v>6008</v>
      </c>
      <c r="D11" s="337"/>
      <c r="E11" s="338"/>
      <c r="F11" s="143" t="str">
        <f>VLOOKUP($B11,Данные!$A$1:$U$1009,6,FALSE)</f>
        <v>М (равномерная)</v>
      </c>
      <c r="G11" s="143" t="str">
        <f>VLOOKUP($B11,Данные!$A$1:$U$1009,8,FALSE)</f>
        <v>Samsung LM281</v>
      </c>
      <c r="H11" s="143" t="str">
        <f>VLOOKUP($B11,Данные!$A$1:$U$1009,12,FALSE)</f>
        <v>Рассеиватель - акрил (ПММА), основание из термостойкого пластика</v>
      </c>
      <c r="I11" s="143" t="str">
        <f>VLOOKUP($B11,Данные!$A$1:$U$1009,4,FALSE)</f>
        <v>176-264В AС</v>
      </c>
      <c r="J11" s="143">
        <f>VLOOKUP($B11,Данные!$A$1:$U$1009,5,FALSE)</f>
        <v>0.95</v>
      </c>
      <c r="K11" s="143" t="str">
        <f>VLOOKUP($B11,Данные!$A$1:$U$1009,13,FALSE)</f>
        <v xml:space="preserve"> -60°...+50° С</v>
      </c>
      <c r="L11" s="143" t="str">
        <f>VLOOKUP($B11,Данные!$A$1:$U$1009,14,FALSE)</f>
        <v>100 000 ч</v>
      </c>
      <c r="M11" s="143" t="str">
        <f>VLOOKUP($B11,Данные!$A$1:$U$1009,10,FALSE)</f>
        <v>400х400х415 (посадочное отв. 64 мм)</v>
      </c>
      <c r="N11" s="143">
        <f>VLOOKUP($B11,Данные!$A$1:$U$1009,11,FALSE)</f>
        <v>0</v>
      </c>
      <c r="O11" s="32" t="str">
        <f>VLOOKUP($B11,Данные!$A$1:$U$1009,9,FALSE)</f>
        <v>-</v>
      </c>
      <c r="P11" s="29">
        <f>VLOOKUP($B11,Данные!$A$1:$U$1009,2,FALSE)</f>
        <v>40</v>
      </c>
      <c r="Q11" s="30">
        <f>VLOOKUP($B11,Данные!$A$1:$U$1009,3,FALSE)</f>
        <v>4800</v>
      </c>
      <c r="R11" s="31">
        <f t="shared" ref="R11:R15" si="2">Q11/P11</f>
        <v>120</v>
      </c>
      <c r="S11" s="36" t="str">
        <f>VLOOKUP($B11,Данные!$A$1:$U$1009,15,FALSE)</f>
        <v>5000К 4000К* 3000К*</v>
      </c>
      <c r="T11" s="36">
        <f>VLOOKUP($B11,Данные!$A$1:$U$1009,7,FALSE)</f>
        <v>67</v>
      </c>
      <c r="U11" s="109" t="str">
        <f>VLOOKUP($B11,Данные!$A$1:$U$1009,16,FALSE)</f>
        <v>3 года</v>
      </c>
      <c r="V11" s="407">
        <v>5005</v>
      </c>
    </row>
    <row r="12" spans="1:22" ht="90" customHeight="1" thickBot="1">
      <c r="A12" s="356"/>
      <c r="B12" s="233" t="s">
        <v>436</v>
      </c>
      <c r="C12" s="199">
        <f>VLOOKUP(B12,Данные!A9:Z366,26,FALSE)</f>
        <v>6009</v>
      </c>
      <c r="D12" s="343"/>
      <c r="E12" s="345"/>
      <c r="F12" s="144" t="str">
        <f>VLOOKUP($B12,Данные!$A$1:$U$1009,6,FALSE)</f>
        <v>М (равномерная)</v>
      </c>
      <c r="G12" s="144" t="str">
        <f>VLOOKUP($B12,Данные!$A$1:$U$1009,8,FALSE)</f>
        <v>Samsung LM281</v>
      </c>
      <c r="H12" s="144" t="str">
        <f>VLOOKUP($B12,Данные!$A$1:$U$1009,12,FALSE)</f>
        <v>Рассеиватель - акрил (ПММА), основание из термостойкого пластика</v>
      </c>
      <c r="I12" s="144" t="str">
        <f>VLOOKUP($B12,Данные!$A$1:$U$1009,4,FALSE)</f>
        <v>176-264В AС</v>
      </c>
      <c r="J12" s="144">
        <f>VLOOKUP($B12,Данные!$A$1:$U$1009,5,FALSE)</f>
        <v>0.95</v>
      </c>
      <c r="K12" s="144" t="str">
        <f>VLOOKUP($B12,Данные!$A$1:$U$1009,13,FALSE)</f>
        <v xml:space="preserve"> -60°...+50° С</v>
      </c>
      <c r="L12" s="144" t="str">
        <f>VLOOKUP($B12,Данные!$A$1:$U$1009,14,FALSE)</f>
        <v>100 000 ч</v>
      </c>
      <c r="M12" s="144" t="str">
        <f>VLOOKUP($B12,Данные!$A$1:$U$1009,10,FALSE)</f>
        <v>400х400х415 (посадочное отв. 64 мм)</v>
      </c>
      <c r="N12" s="144">
        <f>VLOOKUP($B12,Данные!$A$1:$U$1009,11,FALSE)</f>
        <v>0</v>
      </c>
      <c r="O12" s="28" t="str">
        <f>VLOOKUP($B12,Данные!$A$1:$U$1009,9,FALSE)</f>
        <v>-</v>
      </c>
      <c r="P12" s="25">
        <f>VLOOKUP($B12,Данные!$A$1:$U$1009,2,FALSE)</f>
        <v>50</v>
      </c>
      <c r="Q12" s="26">
        <f>VLOOKUP($B12,Данные!$A$1:$U$1009,3,FALSE)</f>
        <v>5750</v>
      </c>
      <c r="R12" s="27">
        <f t="shared" si="2"/>
        <v>115</v>
      </c>
      <c r="S12" s="38" t="str">
        <f>VLOOKUP($B12,Данные!$A$1:$U$1009,15,FALSE)</f>
        <v>5000К 4000К* 3000К*</v>
      </c>
      <c r="T12" s="38">
        <f>VLOOKUP($B12,Данные!$A$1:$U$1009,7,FALSE)</f>
        <v>67</v>
      </c>
      <c r="U12" s="110" t="str">
        <f>VLOOKUP($B12,Данные!$A$1:$U$1009,16,FALSE)</f>
        <v>3 года</v>
      </c>
      <c r="V12" s="408">
        <v>5005</v>
      </c>
    </row>
    <row r="13" spans="1:22" ht="90" customHeight="1">
      <c r="A13" s="349"/>
      <c r="B13" s="231" t="s">
        <v>417</v>
      </c>
      <c r="C13" s="198">
        <f>VLOOKUP(B13,Данные!A10:Z367,26,FALSE)</f>
        <v>6010</v>
      </c>
      <c r="D13" s="342" t="s">
        <v>354</v>
      </c>
      <c r="E13" s="344" t="str">
        <f>CONCATENATE(CONCATENATE($F$3,": ",$F13,CHAR(10),$G$3,": ",$G13,CHAR(10),$H$3,": ",$H13,CHAR(10),$I$3,": ",$I13,CHAR(10),$J$3,": ",$J13,CHAR(10),$K$3,": ",$K13,CHAR(10),$L$3,": ",$L13,CHAR(10)),"*Цветовая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13" s="143" t="str">
        <f>VLOOKUP($B13,Данные!$A$1:$U$1009,6,FALSE)</f>
        <v>М (равномерная)</v>
      </c>
      <c r="G13" s="143" t="str">
        <f>VLOOKUP($B13,Данные!$A$1:$U$1009,8,FALSE)</f>
        <v>Samsung LM281</v>
      </c>
      <c r="H13" s="143" t="str">
        <f>VLOOKUP($B13,Данные!$A$1:$U$1009,12,FALSE)</f>
        <v>Рассеиватель - акрил (ПММА), основание из термостойкого пластика</v>
      </c>
      <c r="I13" s="143" t="str">
        <f>VLOOKUP($B13,Данные!$A$1:$U$1009,4,FALSE)</f>
        <v>176-264В AС</v>
      </c>
      <c r="J13" s="143">
        <f>VLOOKUP($B13,Данные!$A$1:$U$1009,5,FALSE)</f>
        <v>0.95</v>
      </c>
      <c r="K13" s="143" t="str">
        <f>VLOOKUP($B13,Данные!$A$1:$U$1009,13,FALSE)</f>
        <v xml:space="preserve"> -60°...+50° С</v>
      </c>
      <c r="L13" s="143" t="str">
        <f>VLOOKUP($B13,Данные!$A$1:$U$1009,14,FALSE)</f>
        <v>100 000 ч</v>
      </c>
      <c r="M13" s="143" t="str">
        <f>VLOOKUP($B13,Данные!$A$1:$U$1009,10,FALSE)</f>
        <v>300х300х315 (посадочное отв. 64 мм)</v>
      </c>
      <c r="N13" s="143">
        <f>VLOOKUP($B13,Данные!$A$1:$U$1009,11,FALSE)</f>
        <v>0</v>
      </c>
      <c r="O13" s="32" t="str">
        <f>VLOOKUP($B13,Данные!$A$1:$U$1009,9,FALSE)</f>
        <v>-</v>
      </c>
      <c r="P13" s="29">
        <f>VLOOKUP($B13,Данные!$A$1:$U$1009,2,FALSE)</f>
        <v>30</v>
      </c>
      <c r="Q13" s="30">
        <f>VLOOKUP($B13,Данные!$A$1:$U$1009,3,FALSE)</f>
        <v>3750</v>
      </c>
      <c r="R13" s="31">
        <f t="shared" si="2"/>
        <v>125</v>
      </c>
      <c r="S13" s="36" t="str">
        <f>VLOOKUP($B13,Данные!$A$1:$U$1009,15,FALSE)</f>
        <v>5000К 4000К* 3000К*</v>
      </c>
      <c r="T13" s="36">
        <f>VLOOKUP($B13,Данные!$A$1:$U$1009,7,FALSE)</f>
        <v>67</v>
      </c>
      <c r="U13" s="109" t="str">
        <f>VLOOKUP($B13,Данные!$A$1:$U$1009,16,FALSE)</f>
        <v>3 года</v>
      </c>
      <c r="V13" s="407">
        <v>3835</v>
      </c>
    </row>
    <row r="14" spans="1:22" ht="90" customHeight="1">
      <c r="A14" s="350"/>
      <c r="B14" s="232" t="s">
        <v>418</v>
      </c>
      <c r="C14" s="199">
        <f>VLOOKUP(B14,Данные!A11:Z368,26,FALSE)</f>
        <v>6011</v>
      </c>
      <c r="D14" s="337"/>
      <c r="E14" s="338"/>
      <c r="F14" s="143" t="str">
        <f>VLOOKUP($B14,Данные!$A$1:$U$1009,6,FALSE)</f>
        <v>М (равномерная)</v>
      </c>
      <c r="G14" s="143" t="str">
        <f>VLOOKUP($B14,Данные!$A$1:$U$1009,8,FALSE)</f>
        <v>Samsung LM281</v>
      </c>
      <c r="H14" s="143" t="str">
        <f>VLOOKUP($B14,Данные!$A$1:$U$1009,12,FALSE)</f>
        <v>Рассеиватель - акрил (ПММА), основание из термостойкого пластика</v>
      </c>
      <c r="I14" s="143" t="str">
        <f>VLOOKUP($B14,Данные!$A$1:$U$1009,4,FALSE)</f>
        <v>176-264В AС</v>
      </c>
      <c r="J14" s="143">
        <f>VLOOKUP($B14,Данные!$A$1:$U$1009,5,FALSE)</f>
        <v>0.95</v>
      </c>
      <c r="K14" s="143" t="str">
        <f>VLOOKUP($B14,Данные!$A$1:$U$1009,13,FALSE)</f>
        <v xml:space="preserve"> -60°...+50° С</v>
      </c>
      <c r="L14" s="143" t="str">
        <f>VLOOKUP($B14,Данные!$A$1:$U$1009,14,FALSE)</f>
        <v>100 000 ч</v>
      </c>
      <c r="M14" s="143" t="str">
        <f>VLOOKUP($B14,Данные!$A$1:$U$1009,10,FALSE)</f>
        <v>300х300х315 (посадочное отв. 64 мм)</v>
      </c>
      <c r="N14" s="143">
        <f>VLOOKUP($B14,Данные!$A$1:$U$1009,11,FALSE)</f>
        <v>0</v>
      </c>
      <c r="O14" s="32" t="str">
        <f>VLOOKUP($B14,Данные!$A$1:$U$1009,9,FALSE)</f>
        <v>-</v>
      </c>
      <c r="P14" s="29">
        <f>VLOOKUP($B14,Данные!$A$1:$U$1009,2,FALSE)</f>
        <v>40</v>
      </c>
      <c r="Q14" s="30">
        <f>VLOOKUP($B14,Данные!$A$1:$U$1009,3,FALSE)</f>
        <v>4800</v>
      </c>
      <c r="R14" s="31">
        <f t="shared" si="2"/>
        <v>120</v>
      </c>
      <c r="S14" s="36" t="str">
        <f>VLOOKUP($B14,Данные!$A$1:$U$1009,15,FALSE)</f>
        <v>5000К 4000К* 3000К*</v>
      </c>
      <c r="T14" s="36">
        <f>VLOOKUP($B14,Данные!$A$1:$U$1009,7,FALSE)</f>
        <v>67</v>
      </c>
      <c r="U14" s="109" t="str">
        <f>VLOOKUP($B14,Данные!$A$1:$U$1009,16,FALSE)</f>
        <v>3 года</v>
      </c>
      <c r="V14" s="407">
        <v>4055</v>
      </c>
    </row>
    <row r="15" spans="1:22" ht="90" customHeight="1" thickBot="1">
      <c r="A15" s="351"/>
      <c r="B15" s="233" t="s">
        <v>437</v>
      </c>
      <c r="C15" s="200">
        <f>VLOOKUP(B15,Данные!A12:Z369,26,FALSE)</f>
        <v>6012</v>
      </c>
      <c r="D15" s="343"/>
      <c r="E15" s="345"/>
      <c r="F15" s="143" t="str">
        <f>VLOOKUP($B15,Данные!$A$1:$U$1009,6,FALSE)</f>
        <v>М (равномерная)</v>
      </c>
      <c r="G15" s="143" t="str">
        <f>VLOOKUP($B15,Данные!$A$1:$U$1009,8,FALSE)</f>
        <v>Samsung LM281</v>
      </c>
      <c r="H15" s="143" t="str">
        <f>VLOOKUP($B15,Данные!$A$1:$U$1009,12,FALSE)</f>
        <v>Рассеиватель - акрил (ПММА), основание из термостойкого пластика</v>
      </c>
      <c r="I15" s="143" t="str">
        <f>VLOOKUP($B15,Данные!$A$1:$U$1009,4,FALSE)</f>
        <v>176-264В AС</v>
      </c>
      <c r="J15" s="143">
        <f>VLOOKUP($B15,Данные!$A$1:$U$1009,5,FALSE)</f>
        <v>0.95</v>
      </c>
      <c r="K15" s="143" t="str">
        <f>VLOOKUP($B15,Данные!$A$1:$U$1009,13,FALSE)</f>
        <v xml:space="preserve"> -60°...+50° С</v>
      </c>
      <c r="L15" s="143" t="str">
        <f>VLOOKUP($B15,Данные!$A$1:$U$1009,14,FALSE)</f>
        <v>100 000 ч</v>
      </c>
      <c r="M15" s="143" t="str">
        <f>VLOOKUP($B15,Данные!$A$1:$U$1009,10,FALSE)</f>
        <v>300х300х315 (посадочное отв. 64 мм)</v>
      </c>
      <c r="N15" s="143">
        <f>VLOOKUP($B15,Данные!$A$1:$U$1009,11,FALSE)</f>
        <v>0</v>
      </c>
      <c r="O15" s="32" t="str">
        <f>VLOOKUP($B15,Данные!$A$1:$U$1009,9,FALSE)</f>
        <v>-</v>
      </c>
      <c r="P15" s="29">
        <f>VLOOKUP($B15,Данные!$A$1:$U$1009,2,FALSE)</f>
        <v>50</v>
      </c>
      <c r="Q15" s="30">
        <f>VLOOKUP($B15,Данные!$A$1:$U$1009,3,FALSE)</f>
        <v>5750</v>
      </c>
      <c r="R15" s="31">
        <f t="shared" si="2"/>
        <v>115</v>
      </c>
      <c r="S15" s="36" t="str">
        <f>VLOOKUP($B15,Данные!$A$1:$U$1009,15,FALSE)</f>
        <v>5000К 4000К* 3000К*</v>
      </c>
      <c r="T15" s="36">
        <f>VLOOKUP($B15,Данные!$A$1:$U$1009,7,FALSE)</f>
        <v>67</v>
      </c>
      <c r="U15" s="109" t="str">
        <f>VLOOKUP($B15,Данные!$A$1:$U$1009,16,FALSE)</f>
        <v>3 года</v>
      </c>
      <c r="V15" s="407">
        <v>4055</v>
      </c>
    </row>
    <row r="16" spans="1:22" ht="90" customHeight="1">
      <c r="A16" s="349"/>
      <c r="B16" s="231" t="s">
        <v>438</v>
      </c>
      <c r="C16" s="198">
        <f>VLOOKUP(B16,Данные!A13:Z370,26,FALSE)</f>
        <v>6013</v>
      </c>
      <c r="D16" s="342" t="s">
        <v>354</v>
      </c>
      <c r="E16" s="344" t="str">
        <f>CONCATENATE(CONCATENATE($F$3,": ",$F16,CHAR(10),$G$3,": ",$G16,CHAR(10),$H$3,": ",$H16,CHAR(10),$I$3,": ",$I16,CHAR(10),$J$3,": ",$J16,CHAR(10),$K$3,": ",$K16,CHAR(10),$L$3,": ",$L16,CHAR(10)),"*Цветовая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16" s="147" t="str">
        <f>VLOOKUP($B16,Данные!$A$1:$U$1009,6,FALSE)</f>
        <v>М (равномерная)</v>
      </c>
      <c r="G16" s="147" t="str">
        <f>VLOOKUP($B16,Данные!$A$1:$U$1009,8,FALSE)</f>
        <v>Samsung LM281</v>
      </c>
      <c r="H16" s="147" t="str">
        <f>VLOOKUP($B16,Данные!$A$1:$U$1009,12,FALSE)</f>
        <v>Рассеиватель - акрил (ПММА), основание из термостойкого пластика</v>
      </c>
      <c r="I16" s="147" t="str">
        <f>VLOOKUP($B16,Данные!$A$1:$U$1009,4,FALSE)</f>
        <v>176-264В AС</v>
      </c>
      <c r="J16" s="147">
        <f>VLOOKUP($B16,Данные!$A$1:$U$1009,5,FALSE)</f>
        <v>0.95</v>
      </c>
      <c r="K16" s="147" t="str">
        <f>VLOOKUP($B16,Данные!$A$1:$U$1009,13,FALSE)</f>
        <v xml:space="preserve"> -60°...+50° С</v>
      </c>
      <c r="L16" s="147" t="str">
        <f>VLOOKUP($B16,Данные!$A$1:$U$1009,14,FALSE)</f>
        <v>100 000 ч</v>
      </c>
      <c r="M16" s="147" t="str">
        <f>VLOOKUP($B16,Данные!$A$1:$U$1009,10,FALSE)</f>
        <v>300х300х315 (посадочное отв. 64 мм)</v>
      </c>
      <c r="N16" s="147">
        <f>VLOOKUP($B16,Данные!$A$1:$U$1009,11,FALSE)</f>
        <v>0</v>
      </c>
      <c r="O16" s="24" t="str">
        <f>VLOOKUP($B16,Данные!$A$1:$U$1009,9,FALSE)</f>
        <v>-</v>
      </c>
      <c r="P16" s="21">
        <f>VLOOKUP($B16,Данные!$A$1:$U$1009,2,FALSE)</f>
        <v>30</v>
      </c>
      <c r="Q16" s="22">
        <f>VLOOKUP($B16,Данные!$A$1:$U$1009,3,FALSE)</f>
        <v>3750</v>
      </c>
      <c r="R16" s="23">
        <f t="shared" ref="R16:R18" si="3">Q16/P16</f>
        <v>125</v>
      </c>
      <c r="S16" s="37" t="str">
        <f>VLOOKUP($B16,Данные!$A$1:$U$1009,15,FALSE)</f>
        <v>5000К 4000К* 3000К*</v>
      </c>
      <c r="T16" s="37">
        <f>VLOOKUP($B16,Данные!$A$1:$U$1009,7,FALSE)</f>
        <v>67</v>
      </c>
      <c r="U16" s="108" t="str">
        <f>VLOOKUP($B16,Данные!$A$1:$U$1009,16,FALSE)</f>
        <v>3 года</v>
      </c>
      <c r="V16" s="406">
        <v>4270</v>
      </c>
    </row>
    <row r="17" spans="1:22" ht="90" customHeight="1">
      <c r="A17" s="350"/>
      <c r="B17" s="232" t="s">
        <v>439</v>
      </c>
      <c r="C17" s="199">
        <f>VLOOKUP(B17,Данные!A14:Z371,26,FALSE)</f>
        <v>6014</v>
      </c>
      <c r="D17" s="337"/>
      <c r="E17" s="338"/>
      <c r="F17" s="149" t="str">
        <f>VLOOKUP($B17,Данные!$A$1:$U$1009,6,FALSE)</f>
        <v>М (равномерная)</v>
      </c>
      <c r="G17" s="149" t="str">
        <f>VLOOKUP($B17,Данные!$A$1:$U$1009,8,FALSE)</f>
        <v>Samsung LM281</v>
      </c>
      <c r="H17" s="149" t="str">
        <f>VLOOKUP($B17,Данные!$A$1:$U$1009,12,FALSE)</f>
        <v>Рассеиватель - акрил (ПММА), основание из термостойкого пластика</v>
      </c>
      <c r="I17" s="149" t="str">
        <f>VLOOKUP($B17,Данные!$A$1:$U$1009,4,FALSE)</f>
        <v>176-264В AС</v>
      </c>
      <c r="J17" s="149">
        <f>VLOOKUP($B17,Данные!$A$1:$U$1009,5,FALSE)</f>
        <v>0.95</v>
      </c>
      <c r="K17" s="149" t="str">
        <f>VLOOKUP($B17,Данные!$A$1:$U$1009,13,FALSE)</f>
        <v xml:space="preserve"> -60°...+50° С</v>
      </c>
      <c r="L17" s="149" t="str">
        <f>VLOOKUP($B17,Данные!$A$1:$U$1009,14,FALSE)</f>
        <v>100 000 ч</v>
      </c>
      <c r="M17" s="149" t="str">
        <f>VLOOKUP($B17,Данные!$A$1:$U$1009,10,FALSE)</f>
        <v>300х300х315 (посадочное отв. 64 мм)</v>
      </c>
      <c r="N17" s="149">
        <f>VLOOKUP($B17,Данные!$A$1:$U$1009,11,FALSE)</f>
        <v>0</v>
      </c>
      <c r="O17" s="151" t="str">
        <f>VLOOKUP($B17,Данные!$A$1:$U$1009,9,FALSE)</f>
        <v>-</v>
      </c>
      <c r="P17" s="29">
        <f>VLOOKUP($B17,Данные!$A$1:$U$1009,2,FALSE)</f>
        <v>40</v>
      </c>
      <c r="Q17" s="30">
        <f>VLOOKUP($B17,Данные!$A$1:$U$1009,3,FALSE)</f>
        <v>4800</v>
      </c>
      <c r="R17" s="31">
        <f t="shared" si="3"/>
        <v>120</v>
      </c>
      <c r="S17" s="36" t="str">
        <f>VLOOKUP($B17,Данные!$A$1:$U$1009,15,FALSE)</f>
        <v>5000К 4000К* 3000К*</v>
      </c>
      <c r="T17" s="36">
        <f>VLOOKUP($B17,Данные!$A$1:$U$1009,7,FALSE)</f>
        <v>67</v>
      </c>
      <c r="U17" s="109" t="str">
        <f>VLOOKUP($B17,Данные!$A$1:$U$1009,16,FALSE)</f>
        <v>3 года</v>
      </c>
      <c r="V17" s="407">
        <v>4490</v>
      </c>
    </row>
    <row r="18" spans="1:22" ht="90" customHeight="1" thickBot="1">
      <c r="A18" s="351"/>
      <c r="B18" s="233" t="s">
        <v>440</v>
      </c>
      <c r="C18" s="200">
        <f>VLOOKUP(B18,Данные!A15:Z372,26,FALSE)</f>
        <v>6015</v>
      </c>
      <c r="D18" s="343"/>
      <c r="E18" s="345"/>
      <c r="F18" s="148" t="str">
        <f>VLOOKUP($B18,Данные!$A$1:$U$1009,6,FALSE)</f>
        <v>М (равномерная)</v>
      </c>
      <c r="G18" s="148" t="str">
        <f>VLOOKUP($B18,Данные!$A$1:$U$1009,8,FALSE)</f>
        <v>Samsung LM281</v>
      </c>
      <c r="H18" s="148" t="str">
        <f>VLOOKUP($B18,Данные!$A$1:$U$1009,12,FALSE)</f>
        <v>Рассеиватель - акрил (ПММА), основание из термостойкого пластика</v>
      </c>
      <c r="I18" s="148" t="str">
        <f>VLOOKUP($B18,Данные!$A$1:$U$1009,4,FALSE)</f>
        <v>176-264В AС</v>
      </c>
      <c r="J18" s="148">
        <f>VLOOKUP($B18,Данные!$A$1:$U$1009,5,FALSE)</f>
        <v>0.95</v>
      </c>
      <c r="K18" s="148" t="str">
        <f>VLOOKUP($B18,Данные!$A$1:$U$1009,13,FALSE)</f>
        <v xml:space="preserve"> -60°...+50° С</v>
      </c>
      <c r="L18" s="148" t="str">
        <f>VLOOKUP($B18,Данные!$A$1:$U$1009,14,FALSE)</f>
        <v>100 000 ч</v>
      </c>
      <c r="M18" s="148" t="str">
        <f>VLOOKUP($B18,Данные!$A$1:$U$1009,10,FALSE)</f>
        <v>300х300х315 (посадочное отв. 64 мм)</v>
      </c>
      <c r="N18" s="148">
        <f>VLOOKUP($B18,Данные!$A$1:$U$1009,11,FALSE)</f>
        <v>0</v>
      </c>
      <c r="O18" s="152" t="str">
        <f>VLOOKUP($B18,Данные!$A$1:$U$1009,9,FALSE)</f>
        <v>-</v>
      </c>
      <c r="P18" s="25">
        <f>VLOOKUP($B18,Данные!$A$1:$U$1009,2,FALSE)</f>
        <v>50</v>
      </c>
      <c r="Q18" s="26">
        <f>VLOOKUP($B18,Данные!$A$1:$U$1009,3,FALSE)</f>
        <v>5750</v>
      </c>
      <c r="R18" s="27">
        <f t="shared" si="3"/>
        <v>115</v>
      </c>
      <c r="S18" s="38" t="str">
        <f>VLOOKUP($B18,Данные!$A$1:$U$1009,15,FALSE)</f>
        <v>5000К 4000К* 3000К*</v>
      </c>
      <c r="T18" s="38">
        <f>VLOOKUP($B18,Данные!$A$1:$U$1009,7,FALSE)</f>
        <v>67</v>
      </c>
      <c r="U18" s="110" t="str">
        <f>VLOOKUP($B18,Данные!$A$1:$U$1009,16,FALSE)</f>
        <v>3 года</v>
      </c>
      <c r="V18" s="408">
        <v>4490</v>
      </c>
    </row>
    <row r="19" spans="1:22" ht="90" customHeight="1">
      <c r="A19" s="349"/>
      <c r="B19" s="231" t="s">
        <v>441</v>
      </c>
      <c r="C19" s="198">
        <f>VLOOKUP(B19,Данные!A16:Z373,26,FALSE)</f>
        <v>6016</v>
      </c>
      <c r="D19" s="342" t="s">
        <v>354</v>
      </c>
      <c r="E19" s="344" t="str">
        <f>CONCATENATE(CONCATENATE($F$3,": ",$F19,CHAR(10),$G$3,": ",$G19,CHAR(10),$H$3,": ",$H19,CHAR(10),$I$3,": ",$I19,CHAR(10),$J$3,": ",$J19,CHAR(10),$K$3,": ",$K19,CHAR(10),$L$3,": ",$L19,CHAR(10)),"*Цветовая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19" s="136" t="str">
        <f>VLOOKUP($B19,Данные!$A$1:$U$1009,6,FALSE)</f>
        <v>М (равномерная)</v>
      </c>
      <c r="G19" s="136" t="str">
        <f>VLOOKUP($B19,Данные!$A$1:$U$1009,8,FALSE)</f>
        <v>Samsung LM281</v>
      </c>
      <c r="H19" s="136" t="str">
        <f>VLOOKUP($B19,Данные!$A$1:$U$1009,12,FALSE)</f>
        <v>Рассеиватель - акрил (ПММА), основание из термостойкого пластика</v>
      </c>
      <c r="I19" s="136" t="str">
        <f>VLOOKUP($B19,Данные!$A$1:$U$1009,4,FALSE)</f>
        <v>176-264В AС</v>
      </c>
      <c r="J19" s="136">
        <f>VLOOKUP($B19,Данные!$A$1:$U$1009,5,FALSE)</f>
        <v>0.95</v>
      </c>
      <c r="K19" s="136" t="str">
        <f>VLOOKUP($B19,Данные!$A$1:$U$1009,13,FALSE)</f>
        <v xml:space="preserve"> -60°...+50° С</v>
      </c>
      <c r="L19" s="136" t="str">
        <f>VLOOKUP($B19,Данные!$A$1:$U$1009,14,FALSE)</f>
        <v>100 000 ч</v>
      </c>
      <c r="M19" s="136" t="str">
        <f>VLOOKUP($B19,Данные!$A$1:$U$1009,10,FALSE)</f>
        <v>400х400х415 (посадочное отв. 64 мм)</v>
      </c>
      <c r="N19" s="136">
        <f>VLOOKUP($B19,Данные!$A$1:$U$1009,11,FALSE)</f>
        <v>0</v>
      </c>
      <c r="O19" s="32" t="str">
        <f>VLOOKUP($B19,Данные!$A$1:$U$1009,9,FALSE)</f>
        <v>-</v>
      </c>
      <c r="P19" s="29">
        <f>VLOOKUP($B19,Данные!$A$1:$U$1009,2,FALSE)</f>
        <v>30</v>
      </c>
      <c r="Q19" s="30">
        <f>VLOOKUP($B19,Данные!$A$1:$U$1009,3,FALSE)</f>
        <v>3750</v>
      </c>
      <c r="R19" s="31">
        <f t="shared" ref="R19:R24" si="4">Q19/P19</f>
        <v>125</v>
      </c>
      <c r="S19" s="36" t="str">
        <f>VLOOKUP($B19,Данные!$A$1:$U$1009,15,FALSE)</f>
        <v>5000К 4000К* 3000К*</v>
      </c>
      <c r="T19" s="36">
        <f>VLOOKUP($B19,Данные!$A$1:$U$1009,7,FALSE)</f>
        <v>67</v>
      </c>
      <c r="U19" s="109" t="str">
        <f>VLOOKUP($B19,Данные!$A$1:$U$1009,16,FALSE)</f>
        <v>3 года</v>
      </c>
      <c r="V19" s="407">
        <v>4765</v>
      </c>
    </row>
    <row r="20" spans="1:22" ht="90" customHeight="1">
      <c r="A20" s="350"/>
      <c r="B20" s="232" t="s">
        <v>442</v>
      </c>
      <c r="C20" s="199">
        <f>VLOOKUP(B20,Данные!A17:Z374,26,FALSE)</f>
        <v>6017</v>
      </c>
      <c r="D20" s="337"/>
      <c r="E20" s="338"/>
      <c r="F20" s="136" t="str">
        <f>VLOOKUP($B20,Данные!$A$1:$U$1009,6,FALSE)</f>
        <v>М (равномерная)</v>
      </c>
      <c r="G20" s="136" t="str">
        <f>VLOOKUP($B20,Данные!$A$1:$U$1009,8,FALSE)</f>
        <v>Samsung LM281</v>
      </c>
      <c r="H20" s="136" t="str">
        <f>VLOOKUP($B20,Данные!$A$1:$U$1009,12,FALSE)</f>
        <v>Рассеиватель - акрил (ПММА), основание из термостойкого пластика</v>
      </c>
      <c r="I20" s="136" t="str">
        <f>VLOOKUP($B20,Данные!$A$1:$U$1009,4,FALSE)</f>
        <v>176-264В AС</v>
      </c>
      <c r="J20" s="136">
        <f>VLOOKUP($B20,Данные!$A$1:$U$1009,5,FALSE)</f>
        <v>0.95</v>
      </c>
      <c r="K20" s="136" t="str">
        <f>VLOOKUP($B20,Данные!$A$1:$U$1009,13,FALSE)</f>
        <v xml:space="preserve"> -60°...+50° С</v>
      </c>
      <c r="L20" s="136" t="str">
        <f>VLOOKUP($B20,Данные!$A$1:$U$1009,14,FALSE)</f>
        <v>100 000 ч</v>
      </c>
      <c r="M20" s="136" t="str">
        <f>VLOOKUP($B20,Данные!$A$1:$U$1009,10,FALSE)</f>
        <v>400х400х415 (посадочное отв. 64 мм)</v>
      </c>
      <c r="N20" s="136">
        <f>VLOOKUP($B20,Данные!$A$1:$U$1009,11,FALSE)</f>
        <v>0</v>
      </c>
      <c r="O20" s="32" t="str">
        <f>VLOOKUP($B20,Данные!$A$1:$U$1009,9,FALSE)</f>
        <v>-</v>
      </c>
      <c r="P20" s="29">
        <f>VLOOKUP($B20,Данные!$A$1:$U$1009,2,FALSE)</f>
        <v>40</v>
      </c>
      <c r="Q20" s="30">
        <f>VLOOKUP($B20,Данные!$A$1:$U$1009,3,FALSE)</f>
        <v>4800</v>
      </c>
      <c r="R20" s="31">
        <f t="shared" si="4"/>
        <v>120</v>
      </c>
      <c r="S20" s="36" t="str">
        <f>VLOOKUP($B20,Данные!$A$1:$U$1009,15,FALSE)</f>
        <v>5000К 4000К* 3000К*</v>
      </c>
      <c r="T20" s="36">
        <f>VLOOKUP($B20,Данные!$A$1:$U$1009,7,FALSE)</f>
        <v>67</v>
      </c>
      <c r="U20" s="109" t="str">
        <f>VLOOKUP($B20,Данные!$A$1:$U$1009,16,FALSE)</f>
        <v>3 года</v>
      </c>
      <c r="V20" s="407">
        <v>5005</v>
      </c>
    </row>
    <row r="21" spans="1:22" ht="90" customHeight="1" thickBot="1">
      <c r="A21" s="351"/>
      <c r="B21" s="233" t="s">
        <v>443</v>
      </c>
      <c r="C21" s="200">
        <f>VLOOKUP(B21,Данные!A18:Z375,26,FALSE)</f>
        <v>6018</v>
      </c>
      <c r="D21" s="343"/>
      <c r="E21" s="345"/>
      <c r="F21" s="136" t="str">
        <f>VLOOKUP($B21,Данные!$A$1:$U$1009,6,FALSE)</f>
        <v>М (равномерная)</v>
      </c>
      <c r="G21" s="136" t="str">
        <f>VLOOKUP($B21,Данные!$A$1:$U$1009,8,FALSE)</f>
        <v>Samsung LM281</v>
      </c>
      <c r="H21" s="136" t="str">
        <f>VLOOKUP($B21,Данные!$A$1:$U$1009,12,FALSE)</f>
        <v>Рассеиватель - акрил (ПММА), основание из термостойкого пластика</v>
      </c>
      <c r="I21" s="136" t="str">
        <f>VLOOKUP($B21,Данные!$A$1:$U$1009,4,FALSE)</f>
        <v>176-264В AС</v>
      </c>
      <c r="J21" s="136">
        <f>VLOOKUP($B21,Данные!$A$1:$U$1009,5,FALSE)</f>
        <v>0.95</v>
      </c>
      <c r="K21" s="136" t="str">
        <f>VLOOKUP($B21,Данные!$A$1:$U$1009,13,FALSE)</f>
        <v xml:space="preserve"> -60°...+50° С</v>
      </c>
      <c r="L21" s="136" t="str">
        <f>VLOOKUP($B21,Данные!$A$1:$U$1009,14,FALSE)</f>
        <v>100 000 ч</v>
      </c>
      <c r="M21" s="136" t="str">
        <f>VLOOKUP($B21,Данные!$A$1:$U$1009,10,FALSE)</f>
        <v>400х400х415 (посадочное отв. 64 мм)</v>
      </c>
      <c r="N21" s="136">
        <f>VLOOKUP($B21,Данные!$A$1:$U$1009,11,FALSE)</f>
        <v>0</v>
      </c>
      <c r="O21" s="32" t="str">
        <f>VLOOKUP($B21,Данные!$A$1:$U$1009,9,FALSE)</f>
        <v>-</v>
      </c>
      <c r="P21" s="29">
        <f>VLOOKUP($B21,Данные!$A$1:$U$1009,2,FALSE)</f>
        <v>50</v>
      </c>
      <c r="Q21" s="30">
        <f>VLOOKUP($B21,Данные!$A$1:$U$1009,3,FALSE)</f>
        <v>5750</v>
      </c>
      <c r="R21" s="31">
        <f t="shared" si="4"/>
        <v>115</v>
      </c>
      <c r="S21" s="36" t="str">
        <f>VLOOKUP($B21,Данные!$A$1:$U$1009,15,FALSE)</f>
        <v>5000К 4000К* 3000К*</v>
      </c>
      <c r="T21" s="36">
        <f>VLOOKUP($B21,Данные!$A$1:$U$1009,7,FALSE)</f>
        <v>67</v>
      </c>
      <c r="U21" s="109" t="str">
        <f>VLOOKUP($B21,Данные!$A$1:$U$1009,16,FALSE)</f>
        <v>3 года</v>
      </c>
      <c r="V21" s="407">
        <v>5005</v>
      </c>
    </row>
    <row r="22" spans="1:22" ht="90" customHeight="1">
      <c r="A22" s="349"/>
      <c r="B22" s="231" t="s">
        <v>423</v>
      </c>
      <c r="C22" s="198">
        <f>VLOOKUP(B22,Данные!A19:Z376,26,FALSE)</f>
        <v>6019</v>
      </c>
      <c r="D22" s="342" t="s">
        <v>354</v>
      </c>
      <c r="E22" s="344" t="str">
        <f t="shared" ref="E22" si="5">CONCATENATE(CONCATENATE($F$3,": ",$F22,CHAR(10),$G$3,": ",$G22,CHAR(10),$H$3,": ",$H22,CHAR(10),$I$3,": ",$I22,CHAR(10),$J$3,": ",$J22,CHAR(10),$K$3,": ",$K22,CHAR(10),$L$3,": ",$L22,CHAR(10)),"*Цветовая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22" s="142" t="str">
        <f>VLOOKUP($B22,Данные!$A$1:$U$1009,6,FALSE)</f>
        <v>М (равномерная)</v>
      </c>
      <c r="G22" s="142" t="str">
        <f>VLOOKUP($B22,Данные!$A$1:$U$1009,8,FALSE)</f>
        <v>Samsung LM281</v>
      </c>
      <c r="H22" s="142" t="str">
        <f>VLOOKUP($B22,Данные!$A$1:$U$1009,12,FALSE)</f>
        <v>Рассеиватель - акрил (ПММА), основание из термостойкого пластика</v>
      </c>
      <c r="I22" s="142" t="str">
        <f>VLOOKUP($B22,Данные!$A$1:$U$1009,4,FALSE)</f>
        <v>176-264В AС</v>
      </c>
      <c r="J22" s="142">
        <f>VLOOKUP($B22,Данные!$A$1:$U$1009,5,FALSE)</f>
        <v>0.95</v>
      </c>
      <c r="K22" s="142" t="str">
        <f>VLOOKUP($B22,Данные!$A$1:$U$1009,13,FALSE)</f>
        <v xml:space="preserve"> -60°...+50° С</v>
      </c>
      <c r="L22" s="142" t="str">
        <f>VLOOKUP($B22,Данные!$A$1:$U$1009,14,FALSE)</f>
        <v>100 000 ч</v>
      </c>
      <c r="M22" s="142" t="str">
        <f>VLOOKUP($B22,Данные!$A$1:$U$1009,10,FALSE)</f>
        <v>300х300х315 (посадочное отв. 64 мм)</v>
      </c>
      <c r="N22" s="142">
        <f>VLOOKUP($B22,Данные!$A$1:$U$1009,11,FALSE)</f>
        <v>0</v>
      </c>
      <c r="O22" s="24" t="str">
        <f>VLOOKUP($B22,Данные!$A$1:$U$1009,9,FALSE)</f>
        <v>-</v>
      </c>
      <c r="P22" s="21">
        <f>VLOOKUP($B22,Данные!$A$1:$U$1009,2,FALSE)</f>
        <v>30</v>
      </c>
      <c r="Q22" s="22">
        <f>VLOOKUP($B22,Данные!$A$1:$U$1009,3,FALSE)</f>
        <v>3750</v>
      </c>
      <c r="R22" s="23">
        <f t="shared" si="4"/>
        <v>125</v>
      </c>
      <c r="S22" s="37" t="str">
        <f>VLOOKUP($B22,Данные!$A$1:$U$1009,15,FALSE)</f>
        <v>5000К 4000К* 3000К*</v>
      </c>
      <c r="T22" s="37">
        <f>VLOOKUP($B22,Данные!$A$1:$U$1009,7,FALSE)</f>
        <v>67</v>
      </c>
      <c r="U22" s="108" t="str">
        <f>VLOOKUP($B22,Данные!$A$1:$U$1009,16,FALSE)</f>
        <v>3 года</v>
      </c>
      <c r="V22" s="406">
        <v>3835</v>
      </c>
    </row>
    <row r="23" spans="1:22" ht="90" customHeight="1">
      <c r="A23" s="350"/>
      <c r="B23" s="232" t="s">
        <v>424</v>
      </c>
      <c r="C23" s="199">
        <f>VLOOKUP(B23,Данные!A20:Z377,26,FALSE)</f>
        <v>6020</v>
      </c>
      <c r="D23" s="337"/>
      <c r="E23" s="338"/>
      <c r="F23" s="143" t="str">
        <f>VLOOKUP($B23,Данные!$A$1:$U$1009,6,FALSE)</f>
        <v>М (равномерная)</v>
      </c>
      <c r="G23" s="143" t="str">
        <f>VLOOKUP($B23,Данные!$A$1:$U$1009,8,FALSE)</f>
        <v>Samsung LM281</v>
      </c>
      <c r="H23" s="143" t="str">
        <f>VLOOKUP($B23,Данные!$A$1:$U$1009,12,FALSE)</f>
        <v>Рассеиватель - акрил (ПММА), основание из термостойкого пластика</v>
      </c>
      <c r="I23" s="143" t="str">
        <f>VLOOKUP($B23,Данные!$A$1:$U$1009,4,FALSE)</f>
        <v>176-264В AС</v>
      </c>
      <c r="J23" s="143">
        <f>VLOOKUP($B23,Данные!$A$1:$U$1009,5,FALSE)</f>
        <v>0.95</v>
      </c>
      <c r="K23" s="143" t="str">
        <f>VLOOKUP($B23,Данные!$A$1:$U$1009,13,FALSE)</f>
        <v xml:space="preserve"> -60°...+50° С</v>
      </c>
      <c r="L23" s="143" t="str">
        <f>VLOOKUP($B23,Данные!$A$1:$U$1009,14,FALSE)</f>
        <v>100 000 ч</v>
      </c>
      <c r="M23" s="143" t="str">
        <f>VLOOKUP($B23,Данные!$A$1:$U$1009,10,FALSE)</f>
        <v>300х300х315 (посадочное отв. 64 мм)</v>
      </c>
      <c r="N23" s="143">
        <f>VLOOKUP($B23,Данные!$A$1:$U$1009,11,FALSE)</f>
        <v>0</v>
      </c>
      <c r="O23" s="32" t="str">
        <f>VLOOKUP($B23,Данные!$A$1:$U$1009,9,FALSE)</f>
        <v>-</v>
      </c>
      <c r="P23" s="29">
        <f>VLOOKUP($B23,Данные!$A$1:$U$1009,2,FALSE)</f>
        <v>40</v>
      </c>
      <c r="Q23" s="30">
        <f>VLOOKUP($B23,Данные!$A$1:$U$1009,3,FALSE)</f>
        <v>4800</v>
      </c>
      <c r="R23" s="31">
        <f t="shared" si="4"/>
        <v>120</v>
      </c>
      <c r="S23" s="36" t="str">
        <f>VLOOKUP($B23,Данные!$A$1:$U$1009,15,FALSE)</f>
        <v>5000К 4000К* 3000К*</v>
      </c>
      <c r="T23" s="36">
        <f>VLOOKUP($B23,Данные!$A$1:$U$1009,7,FALSE)</f>
        <v>67</v>
      </c>
      <c r="U23" s="109" t="str">
        <f>VLOOKUP($B23,Данные!$A$1:$U$1009,16,FALSE)</f>
        <v>3 года</v>
      </c>
      <c r="V23" s="407">
        <v>4055</v>
      </c>
    </row>
    <row r="24" spans="1:22" ht="90" customHeight="1" thickBot="1">
      <c r="A24" s="351"/>
      <c r="B24" s="233" t="s">
        <v>425</v>
      </c>
      <c r="C24" s="200">
        <f>VLOOKUP(B24,Данные!A21:Z378,26,FALSE)</f>
        <v>6021</v>
      </c>
      <c r="D24" s="343"/>
      <c r="E24" s="345"/>
      <c r="F24" s="144" t="str">
        <f>VLOOKUP($B24,Данные!$A$1:$U$1009,6,FALSE)</f>
        <v>М (равномерная)</v>
      </c>
      <c r="G24" s="144" t="str">
        <f>VLOOKUP($B24,Данные!$A$1:$U$1009,8,FALSE)</f>
        <v>Samsung LM281</v>
      </c>
      <c r="H24" s="144" t="str">
        <f>VLOOKUP($B24,Данные!$A$1:$U$1009,12,FALSE)</f>
        <v>Рассеиватель - акрил (ПММА), основание из термостойкого пластика</v>
      </c>
      <c r="I24" s="144" t="str">
        <f>VLOOKUP($B24,Данные!$A$1:$U$1009,4,FALSE)</f>
        <v>176-264В AС</v>
      </c>
      <c r="J24" s="144">
        <f>VLOOKUP($B24,Данные!$A$1:$U$1009,5,FALSE)</f>
        <v>0.95</v>
      </c>
      <c r="K24" s="144" t="str">
        <f>VLOOKUP($B24,Данные!$A$1:$U$1009,13,FALSE)</f>
        <v xml:space="preserve"> -60°...+50° С</v>
      </c>
      <c r="L24" s="144" t="str">
        <f>VLOOKUP($B24,Данные!$A$1:$U$1009,14,FALSE)</f>
        <v>100 000 ч</v>
      </c>
      <c r="M24" s="144" t="str">
        <f>VLOOKUP($B24,Данные!$A$1:$U$1009,10,FALSE)</f>
        <v>300х300х315 (посадочное отв. 64 мм)</v>
      </c>
      <c r="N24" s="144">
        <f>VLOOKUP($B24,Данные!$A$1:$U$1009,11,FALSE)</f>
        <v>0</v>
      </c>
      <c r="O24" s="28" t="str">
        <f>VLOOKUP($B24,Данные!$A$1:$U$1009,9,FALSE)</f>
        <v>-</v>
      </c>
      <c r="P24" s="25">
        <f>VLOOKUP($B24,Данные!$A$1:$U$1009,2,FALSE)</f>
        <v>50</v>
      </c>
      <c r="Q24" s="26">
        <f>VLOOKUP($B24,Данные!$A$1:$U$1009,3,FALSE)</f>
        <v>5750</v>
      </c>
      <c r="R24" s="27">
        <f t="shared" si="4"/>
        <v>115</v>
      </c>
      <c r="S24" s="38" t="str">
        <f>VLOOKUP($B24,Данные!$A$1:$U$1009,15,FALSE)</f>
        <v>5000К 4000К* 3000К*</v>
      </c>
      <c r="T24" s="38">
        <f>VLOOKUP($B24,Данные!$A$1:$U$1009,7,FALSE)</f>
        <v>67</v>
      </c>
      <c r="U24" s="110" t="str">
        <f>VLOOKUP($B24,Данные!$A$1:$U$1009,16,FALSE)</f>
        <v>3 года</v>
      </c>
      <c r="V24" s="408">
        <v>4055</v>
      </c>
    </row>
    <row r="25" spans="1:22" ht="90" customHeight="1">
      <c r="A25" s="349"/>
      <c r="B25" s="231" t="s">
        <v>426</v>
      </c>
      <c r="C25" s="198">
        <f>VLOOKUP(B25,Данные!A22:Z379,26,FALSE)</f>
        <v>6022</v>
      </c>
      <c r="D25" s="342" t="s">
        <v>354</v>
      </c>
      <c r="E25" s="344" t="str">
        <f t="shared" ref="E25" si="6">CONCATENATE(CONCATENATE($F$3,": ",$F25,CHAR(10),$G$3,": ",$G25,CHAR(10),$H$3,": ",$H25,CHAR(10),$I$3,": ",$I25,CHAR(10),$J$3,": ",$J25,CHAR(10),$K$3,": ",$K25,CHAR(10),$L$3,": ",$L25,CHAR(10)),"*Цветовая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25" s="147" t="str">
        <f>VLOOKUP($B25,Данные!$A$1:$U$1009,6,FALSE)</f>
        <v>М (равномерная)</v>
      </c>
      <c r="G25" s="147" t="str">
        <f>VLOOKUP($B25,Данные!$A$1:$U$1009,8,FALSE)</f>
        <v>Samsung LM281</v>
      </c>
      <c r="H25" s="147" t="str">
        <f>VLOOKUP($B25,Данные!$A$1:$U$1009,12,FALSE)</f>
        <v>Рассеиватель - акрил (ПММА), основание из термостойкого пластика</v>
      </c>
      <c r="I25" s="147" t="str">
        <f>VLOOKUP($B25,Данные!$A$1:$U$1009,4,FALSE)</f>
        <v>176-264В AС</v>
      </c>
      <c r="J25" s="147">
        <f>VLOOKUP($B25,Данные!$A$1:$U$1009,5,FALSE)</f>
        <v>0.95</v>
      </c>
      <c r="K25" s="147" t="str">
        <f>VLOOKUP($B25,Данные!$A$1:$U$1009,13,FALSE)</f>
        <v xml:space="preserve"> -60°...+50° С</v>
      </c>
      <c r="L25" s="147" t="str">
        <f>VLOOKUP($B25,Данные!$A$1:$U$1009,14,FALSE)</f>
        <v>100 000 ч</v>
      </c>
      <c r="M25" s="147" t="str">
        <f>VLOOKUP($B25,Данные!$A$1:$U$1009,10,FALSE)</f>
        <v>300х300х315 (посадочное отв. 64 мм)</v>
      </c>
      <c r="N25" s="147">
        <f>VLOOKUP($B25,Данные!$A$1:$U$1009,11,FALSE)</f>
        <v>0</v>
      </c>
      <c r="O25" s="24" t="str">
        <f>VLOOKUP($B25,Данные!$A$1:$U$1009,9,FALSE)</f>
        <v>-</v>
      </c>
      <c r="P25" s="21">
        <f>VLOOKUP($B25,Данные!$A$1:$U$1009,2,FALSE)</f>
        <v>30</v>
      </c>
      <c r="Q25" s="22">
        <f>VLOOKUP($B25,Данные!$A$1:$U$1009,3,FALSE)</f>
        <v>3750</v>
      </c>
      <c r="R25" s="23">
        <f t="shared" ref="R25:R27" si="7">Q25/P25</f>
        <v>125</v>
      </c>
      <c r="S25" s="37" t="str">
        <f>VLOOKUP($B25,Данные!$A$1:$U$1009,15,FALSE)</f>
        <v>5000К 4000К* 3000К*</v>
      </c>
      <c r="T25" s="37">
        <f>VLOOKUP($B25,Данные!$A$1:$U$1009,7,FALSE)</f>
        <v>67</v>
      </c>
      <c r="U25" s="108" t="str">
        <f>VLOOKUP($B25,Данные!$A$1:$U$1009,16,FALSE)</f>
        <v>3 года</v>
      </c>
      <c r="V25" s="406">
        <v>4270</v>
      </c>
    </row>
    <row r="26" spans="1:22" ht="90" customHeight="1">
      <c r="A26" s="350"/>
      <c r="B26" s="232" t="s">
        <v>427</v>
      </c>
      <c r="C26" s="199">
        <f>VLOOKUP(B26,Данные!A23:Z380,26,FALSE)</f>
        <v>6023</v>
      </c>
      <c r="D26" s="337"/>
      <c r="E26" s="338"/>
      <c r="F26" s="149" t="str">
        <f>VLOOKUP($B26,Данные!$A$1:$U$1009,6,FALSE)</f>
        <v>М (равномерная)</v>
      </c>
      <c r="G26" s="149" t="str">
        <f>VLOOKUP($B26,Данные!$A$1:$U$1009,8,FALSE)</f>
        <v>Samsung LM281</v>
      </c>
      <c r="H26" s="149" t="str">
        <f>VLOOKUP($B26,Данные!$A$1:$U$1009,12,FALSE)</f>
        <v>Рассеиватель - акрил (ПММА), основание из термостойкого пластика</v>
      </c>
      <c r="I26" s="149" t="str">
        <f>VLOOKUP($B26,Данные!$A$1:$U$1009,4,FALSE)</f>
        <v>176-264В AС</v>
      </c>
      <c r="J26" s="149">
        <f>VLOOKUP($B26,Данные!$A$1:$U$1009,5,FALSE)</f>
        <v>0.95</v>
      </c>
      <c r="K26" s="149" t="str">
        <f>VLOOKUP($B26,Данные!$A$1:$U$1009,13,FALSE)</f>
        <v xml:space="preserve"> -60°...+50° С</v>
      </c>
      <c r="L26" s="149" t="str">
        <f>VLOOKUP($B26,Данные!$A$1:$U$1009,14,FALSE)</f>
        <v>100 000 ч</v>
      </c>
      <c r="M26" s="149" t="str">
        <f>VLOOKUP($B26,Данные!$A$1:$U$1009,10,FALSE)</f>
        <v>300х300х315 (посадочное отв. 64 мм)</v>
      </c>
      <c r="N26" s="149">
        <f>VLOOKUP($B26,Данные!$A$1:$U$1009,11,FALSE)</f>
        <v>0</v>
      </c>
      <c r="O26" s="151" t="str">
        <f>VLOOKUP($B26,Данные!$A$1:$U$1009,9,FALSE)</f>
        <v>-</v>
      </c>
      <c r="P26" s="29">
        <f>VLOOKUP($B26,Данные!$A$1:$U$1009,2,FALSE)</f>
        <v>40</v>
      </c>
      <c r="Q26" s="30">
        <f>VLOOKUP($B26,Данные!$A$1:$U$1009,3,FALSE)</f>
        <v>4800</v>
      </c>
      <c r="R26" s="31">
        <f t="shared" si="7"/>
        <v>120</v>
      </c>
      <c r="S26" s="36" t="str">
        <f>VLOOKUP($B26,Данные!$A$1:$U$1009,15,FALSE)</f>
        <v>5000К 4000К* 3000К*</v>
      </c>
      <c r="T26" s="36">
        <f>VLOOKUP($B26,Данные!$A$1:$U$1009,7,FALSE)</f>
        <v>67</v>
      </c>
      <c r="U26" s="109" t="str">
        <f>VLOOKUP($B26,Данные!$A$1:$U$1009,16,FALSE)</f>
        <v>3 года</v>
      </c>
      <c r="V26" s="407">
        <v>4490</v>
      </c>
    </row>
    <row r="27" spans="1:22" ht="90" customHeight="1" thickBot="1">
      <c r="A27" s="351"/>
      <c r="B27" s="233" t="s">
        <v>428</v>
      </c>
      <c r="C27" s="200">
        <f>VLOOKUP(B27,Данные!A24:Z381,26,FALSE)</f>
        <v>6024</v>
      </c>
      <c r="D27" s="343"/>
      <c r="E27" s="345"/>
      <c r="F27" s="148" t="str">
        <f>VLOOKUP($B27,Данные!$A$1:$U$1009,6,FALSE)</f>
        <v>М (равномерная)</v>
      </c>
      <c r="G27" s="148" t="str">
        <f>VLOOKUP($B27,Данные!$A$1:$U$1009,8,FALSE)</f>
        <v>Samsung LM281</v>
      </c>
      <c r="H27" s="148" t="str">
        <f>VLOOKUP($B27,Данные!$A$1:$U$1009,12,FALSE)</f>
        <v>Рассеиватель - акрил (ПММА), основание из термостойкого пластика</v>
      </c>
      <c r="I27" s="148" t="str">
        <f>VLOOKUP($B27,Данные!$A$1:$U$1009,4,FALSE)</f>
        <v>176-264В AС</v>
      </c>
      <c r="J27" s="148">
        <f>VLOOKUP($B27,Данные!$A$1:$U$1009,5,FALSE)</f>
        <v>0.95</v>
      </c>
      <c r="K27" s="148" t="str">
        <f>VLOOKUP($B27,Данные!$A$1:$U$1009,13,FALSE)</f>
        <v xml:space="preserve"> -60°...+50° С</v>
      </c>
      <c r="L27" s="148" t="str">
        <f>VLOOKUP($B27,Данные!$A$1:$U$1009,14,FALSE)</f>
        <v>100 000 ч</v>
      </c>
      <c r="M27" s="148" t="str">
        <f>VLOOKUP($B27,Данные!$A$1:$U$1009,10,FALSE)</f>
        <v>300х300х315 (посадочное отв. 64 мм)</v>
      </c>
      <c r="N27" s="148">
        <f>VLOOKUP($B27,Данные!$A$1:$U$1009,11,FALSE)</f>
        <v>0</v>
      </c>
      <c r="O27" s="152" t="str">
        <f>VLOOKUP($B27,Данные!$A$1:$U$1009,9,FALSE)</f>
        <v>-</v>
      </c>
      <c r="P27" s="25">
        <f>VLOOKUP($B27,Данные!$A$1:$U$1009,2,FALSE)</f>
        <v>50</v>
      </c>
      <c r="Q27" s="26">
        <f>VLOOKUP($B27,Данные!$A$1:$U$1009,3,FALSE)</f>
        <v>5750</v>
      </c>
      <c r="R27" s="27">
        <f t="shared" si="7"/>
        <v>115</v>
      </c>
      <c r="S27" s="38" t="str">
        <f>VLOOKUP($B27,Данные!$A$1:$U$1009,15,FALSE)</f>
        <v>5000К 4000К* 3000К*</v>
      </c>
      <c r="T27" s="38">
        <f>VLOOKUP($B27,Данные!$A$1:$U$1009,7,FALSE)</f>
        <v>67</v>
      </c>
      <c r="U27" s="110" t="str">
        <f>VLOOKUP($B27,Данные!$A$1:$U$1009,16,FALSE)</f>
        <v>3 года</v>
      </c>
      <c r="V27" s="408">
        <v>4490</v>
      </c>
    </row>
    <row r="28" spans="1:22" ht="90" customHeight="1">
      <c r="A28" s="349"/>
      <c r="B28" s="231" t="s">
        <v>429</v>
      </c>
      <c r="C28" s="198">
        <f>VLOOKUP(B28,Данные!A25:Z382,26,FALSE)</f>
        <v>6025</v>
      </c>
      <c r="D28" s="342" t="s">
        <v>354</v>
      </c>
      <c r="E28" s="344" t="str">
        <f t="shared" ref="E28" si="8">CONCATENATE(CONCATENATE($F$3,": ",$F28,CHAR(10),$G$3,": ",$G28,CHAR(10),$H$3,": ",$H28,CHAR(10),$I$3,": ",$I28,CHAR(10),$J$3,": ",$J28,CHAR(10),$K$3,": ",$K28,CHAR(10),$L$3,": ",$L28,CHAR(10)),"*Цветовая темп.: 5000К (по умолчанию), 3000К, 4000К (опционально)")</f>
        <v>КСС: М (равномерная)
Светодиоды: Samsung LM281
Материал: Рассеиватель - акрил (ПММА), основание из термостойкого пластика
Рабочее напряжение: 176-264В AС
Сos φ: 0,95
Рабочая t°:  -60°...+50° С
Срок службы: 100 000 ч
*Цветовая темп.: 5000К (по умолчанию), 3000К, 4000К (опционально)</v>
      </c>
      <c r="F28" s="135" t="str">
        <f>VLOOKUP($B28,Данные!$A$1:$U$1009,6,FALSE)</f>
        <v>М (равномерная)</v>
      </c>
      <c r="G28" s="135" t="str">
        <f>VLOOKUP($B28,Данные!$A$1:$U$1009,8,FALSE)</f>
        <v>Samsung LM281</v>
      </c>
      <c r="H28" s="135" t="str">
        <f>VLOOKUP($B28,Данные!$A$1:$U$1009,12,FALSE)</f>
        <v>Рассеиватель - акрил (ПММА), основание из термостойкого пластика</v>
      </c>
      <c r="I28" s="135" t="str">
        <f>VLOOKUP($B28,Данные!$A$1:$U$1009,4,FALSE)</f>
        <v>176-264В AС</v>
      </c>
      <c r="J28" s="135">
        <f>VLOOKUP($B28,Данные!$A$1:$U$1009,5,FALSE)</f>
        <v>0.95</v>
      </c>
      <c r="K28" s="135" t="str">
        <f>VLOOKUP($B28,Данные!$A$1:$U$1009,13,FALSE)</f>
        <v xml:space="preserve"> -60°...+50° С</v>
      </c>
      <c r="L28" s="135" t="str">
        <f>VLOOKUP($B28,Данные!$A$1:$U$1009,14,FALSE)</f>
        <v>100 000 ч</v>
      </c>
      <c r="M28" s="135" t="str">
        <f>VLOOKUP($B28,Данные!$A$1:$U$1009,10,FALSE)</f>
        <v>400х400х415 (посадочное отв. 64 мм)</v>
      </c>
      <c r="N28" s="135">
        <f>VLOOKUP($B28,Данные!$A$1:$U$1009,11,FALSE)</f>
        <v>0</v>
      </c>
      <c r="O28" s="24" t="str">
        <f>VLOOKUP($B28,Данные!$A$1:$U$1009,9,FALSE)</f>
        <v>-</v>
      </c>
      <c r="P28" s="21">
        <f>VLOOKUP($B28,Данные!$A$1:$U$1009,2,FALSE)</f>
        <v>30</v>
      </c>
      <c r="Q28" s="22">
        <f>VLOOKUP($B28,Данные!$A$1:$U$1009,3,FALSE)</f>
        <v>3750</v>
      </c>
      <c r="R28" s="23">
        <f t="shared" si="0"/>
        <v>125</v>
      </c>
      <c r="S28" s="37" t="str">
        <f>VLOOKUP($B28,Данные!$A$1:$U$1009,15,FALSE)</f>
        <v>5000К 4000К* 3000К*</v>
      </c>
      <c r="T28" s="37">
        <f>VLOOKUP($B28,Данные!$A$1:$U$1009,7,FALSE)</f>
        <v>67</v>
      </c>
      <c r="U28" s="108" t="str">
        <f>VLOOKUP($B28,Данные!$A$1:$U$1009,16,FALSE)</f>
        <v>3 года</v>
      </c>
      <c r="V28" s="406">
        <v>4765</v>
      </c>
    </row>
    <row r="29" spans="1:22" ht="90" customHeight="1">
      <c r="A29" s="350"/>
      <c r="B29" s="232" t="s">
        <v>430</v>
      </c>
      <c r="C29" s="199">
        <f>VLOOKUP(B29,Данные!A26:Z383,26,FALSE)</f>
        <v>6026</v>
      </c>
      <c r="D29" s="337"/>
      <c r="E29" s="338"/>
      <c r="F29" s="136" t="str">
        <f>VLOOKUP($B29,Данные!$A$1:$U$1009,6,FALSE)</f>
        <v>М (равномерная)</v>
      </c>
      <c r="G29" s="136" t="str">
        <f>VLOOKUP($B29,Данные!$A$1:$U$1009,8,FALSE)</f>
        <v>Samsung LM281</v>
      </c>
      <c r="H29" s="136" t="str">
        <f>VLOOKUP($B29,Данные!$A$1:$U$1009,12,FALSE)</f>
        <v>Рассеиватель - акрил (ПММА), основание из термостойкого пластика</v>
      </c>
      <c r="I29" s="136" t="str">
        <f>VLOOKUP($B29,Данные!$A$1:$U$1009,4,FALSE)</f>
        <v>176-264В AС</v>
      </c>
      <c r="J29" s="136">
        <f>VLOOKUP($B29,Данные!$A$1:$U$1009,5,FALSE)</f>
        <v>0.95</v>
      </c>
      <c r="K29" s="136" t="str">
        <f>VLOOKUP($B29,Данные!$A$1:$U$1009,13,FALSE)</f>
        <v xml:space="preserve"> -60°...+50° С</v>
      </c>
      <c r="L29" s="136" t="str">
        <f>VLOOKUP($B29,Данные!$A$1:$U$1009,14,FALSE)</f>
        <v>100 000 ч</v>
      </c>
      <c r="M29" s="136" t="str">
        <f>VLOOKUP($B29,Данные!$A$1:$U$1009,10,FALSE)</f>
        <v>400х400х415 (посадочное отв. 64 мм)</v>
      </c>
      <c r="N29" s="136">
        <f>VLOOKUP($B29,Данные!$A$1:$U$1009,11,FALSE)</f>
        <v>0</v>
      </c>
      <c r="O29" s="32" t="str">
        <f>VLOOKUP($B29,Данные!$A$1:$U$1009,9,FALSE)</f>
        <v>-</v>
      </c>
      <c r="P29" s="29">
        <f>VLOOKUP($B29,Данные!$A$1:$U$1009,2,FALSE)</f>
        <v>40</v>
      </c>
      <c r="Q29" s="30">
        <f>VLOOKUP($B29,Данные!$A$1:$U$1009,3,FALSE)</f>
        <v>4800</v>
      </c>
      <c r="R29" s="31">
        <f t="shared" si="0"/>
        <v>120</v>
      </c>
      <c r="S29" s="36" t="str">
        <f>VLOOKUP($B29,Данные!$A$1:$U$1009,15,FALSE)</f>
        <v>5000К 4000К* 3000К*</v>
      </c>
      <c r="T29" s="36">
        <f>VLOOKUP($B29,Данные!$A$1:$U$1009,7,FALSE)</f>
        <v>67</v>
      </c>
      <c r="U29" s="109" t="str">
        <f>VLOOKUP($B29,Данные!$A$1:$U$1009,16,FALSE)</f>
        <v>3 года</v>
      </c>
      <c r="V29" s="407">
        <v>5005</v>
      </c>
    </row>
    <row r="30" spans="1:22" ht="90" customHeight="1" thickBot="1">
      <c r="A30" s="351"/>
      <c r="B30" s="233" t="s">
        <v>431</v>
      </c>
      <c r="C30" s="200">
        <f>VLOOKUP(B30,Данные!A27:Z384,26,FALSE)</f>
        <v>6027</v>
      </c>
      <c r="D30" s="343"/>
      <c r="E30" s="345"/>
      <c r="F30" s="137" t="str">
        <f>VLOOKUP($B30,Данные!$A$1:$U$1009,6,FALSE)</f>
        <v>М (равномерная)</v>
      </c>
      <c r="G30" s="137" t="str">
        <f>VLOOKUP($B30,Данные!$A$1:$U$1009,8,FALSE)</f>
        <v>Samsung LM281</v>
      </c>
      <c r="H30" s="137" t="str">
        <f>VLOOKUP($B30,Данные!$A$1:$U$1009,12,FALSE)</f>
        <v>Рассеиватель - акрил (ПММА), основание из термостойкого пластика</v>
      </c>
      <c r="I30" s="137" t="str">
        <f>VLOOKUP($B30,Данные!$A$1:$U$1009,4,FALSE)</f>
        <v>176-264В AС</v>
      </c>
      <c r="J30" s="137">
        <f>VLOOKUP($B30,Данные!$A$1:$U$1009,5,FALSE)</f>
        <v>0.95</v>
      </c>
      <c r="K30" s="137" t="str">
        <f>VLOOKUP($B30,Данные!$A$1:$U$1009,13,FALSE)</f>
        <v xml:space="preserve"> -60°...+50° С</v>
      </c>
      <c r="L30" s="137" t="str">
        <f>VLOOKUP($B30,Данные!$A$1:$U$1009,14,FALSE)</f>
        <v>100 000 ч</v>
      </c>
      <c r="M30" s="137" t="str">
        <f>VLOOKUP($B30,Данные!$A$1:$U$1009,10,FALSE)</f>
        <v>400х400х415 (посадочное отв. 64 мм)</v>
      </c>
      <c r="N30" s="137">
        <f>VLOOKUP($B30,Данные!$A$1:$U$1009,11,FALSE)</f>
        <v>0</v>
      </c>
      <c r="O30" s="28" t="str">
        <f>VLOOKUP($B30,Данные!$A$1:$U$1009,9,FALSE)</f>
        <v>-</v>
      </c>
      <c r="P30" s="25">
        <f>VLOOKUP($B30,Данные!$A$1:$U$1009,2,FALSE)</f>
        <v>50</v>
      </c>
      <c r="Q30" s="26">
        <f>VLOOKUP($B30,Данные!$A$1:$U$1009,3,FALSE)</f>
        <v>5750</v>
      </c>
      <c r="R30" s="27">
        <f t="shared" si="0"/>
        <v>115</v>
      </c>
      <c r="S30" s="38" t="str">
        <f>VLOOKUP($B30,Данные!$A$1:$U$1009,15,FALSE)</f>
        <v>5000К 4000К* 3000К*</v>
      </c>
      <c r="T30" s="38">
        <f>VLOOKUP($B30,Данные!$A$1:$U$1009,7,FALSE)</f>
        <v>67</v>
      </c>
      <c r="U30" s="110" t="str">
        <f>VLOOKUP($B30,Данные!$A$1:$U$1009,16,FALSE)</f>
        <v>3 года</v>
      </c>
      <c r="V30" s="408">
        <v>5005</v>
      </c>
    </row>
    <row r="31" spans="1:22" s="111" customFormat="1" ht="60" customHeight="1">
      <c r="A31" s="396" t="s">
        <v>283</v>
      </c>
      <c r="B31" s="397"/>
      <c r="C31" s="397"/>
      <c r="D31" s="397"/>
      <c r="E31" s="397"/>
      <c r="F31" s="397"/>
      <c r="G31" s="397"/>
      <c r="H31" s="397"/>
      <c r="I31" s="397"/>
      <c r="J31" s="397"/>
      <c r="K31" s="397"/>
      <c r="L31" s="397"/>
      <c r="M31" s="397"/>
      <c r="N31" s="397"/>
      <c r="O31" s="397"/>
      <c r="P31" s="397"/>
      <c r="Q31" s="397"/>
      <c r="R31" s="397"/>
      <c r="S31" s="397"/>
      <c r="T31" s="397"/>
      <c r="U31" s="397"/>
      <c r="V31" s="397"/>
    </row>
  </sheetData>
  <mergeCells count="36">
    <mergeCell ref="A16:A18"/>
    <mergeCell ref="D16:D18"/>
    <mergeCell ref="E16:E18"/>
    <mergeCell ref="D13:D15"/>
    <mergeCell ref="E13:E15"/>
    <mergeCell ref="A10:A12"/>
    <mergeCell ref="D10:D12"/>
    <mergeCell ref="E10:E12"/>
    <mergeCell ref="A13:A15"/>
    <mergeCell ref="C2:C3"/>
    <mergeCell ref="A7:A9"/>
    <mergeCell ref="D7:D9"/>
    <mergeCell ref="E7:E9"/>
    <mergeCell ref="A4:A6"/>
    <mergeCell ref="D4:D6"/>
    <mergeCell ref="E4:E6"/>
    <mergeCell ref="A1:V1"/>
    <mergeCell ref="A2:A3"/>
    <mergeCell ref="B2:B3"/>
    <mergeCell ref="D2:D3"/>
    <mergeCell ref="E2:T2"/>
    <mergeCell ref="U2:U3"/>
    <mergeCell ref="V2:V3"/>
    <mergeCell ref="A31:V31"/>
    <mergeCell ref="D19:D21"/>
    <mergeCell ref="E19:E21"/>
    <mergeCell ref="A19:A21"/>
    <mergeCell ref="A28:A30"/>
    <mergeCell ref="D28:D30"/>
    <mergeCell ref="A25:A27"/>
    <mergeCell ref="D25:D27"/>
    <mergeCell ref="E25:E27"/>
    <mergeCell ref="A22:A24"/>
    <mergeCell ref="D22:D24"/>
    <mergeCell ref="E22:E24"/>
    <mergeCell ref="E28:E30"/>
  </mergeCells>
  <pageMargins left="0.25" right="0.25" top="0.75" bottom="0.75" header="0.3" footer="0.3"/>
  <pageSetup paperSize="9" scale="48" fitToHeight="0" orientation="landscape" verticalDpi="300" r:id="rId1"/>
  <headerFooter alignWithMargins="0"/>
  <rowBreaks count="2" manualBreakCount="2">
    <brk id="15" max="25" man="1"/>
    <brk id="3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  <outlinePr summaryBelow="0" summaryRight="0"/>
    <pageSetUpPr fitToPage="1"/>
  </sheetPr>
  <dimension ref="A1:W16"/>
  <sheetViews>
    <sheetView view="pageBreakPreview" zoomScale="50" zoomScaleNormal="65" zoomScaleSheetLayoutView="50" workbookViewId="0">
      <pane xSplit="2" ySplit="3" topLeftCell="C4" activePane="bottomRight" state="frozen"/>
      <selection activeCell="E28" sqref="E28"/>
      <selection pane="topRight" activeCell="E28" sqref="E28"/>
      <selection pane="bottomLeft" activeCell="E28" sqref="E28"/>
      <selection pane="bottomRight" activeCell="W3" sqref="W1:Y1048576"/>
    </sheetView>
  </sheetViews>
  <sheetFormatPr defaultColWidth="9.109375" defaultRowHeight="13.8" outlineLevelCol="1"/>
  <cols>
    <col min="1" max="1" width="65.6640625" style="5" customWidth="1"/>
    <col min="2" max="2" width="32.6640625" style="97" customWidth="1"/>
    <col min="3" max="3" width="20.44140625" style="97" customWidth="1"/>
    <col min="4" max="4" width="25.6640625" style="5" customWidth="1"/>
    <col min="5" max="5" width="40.6640625" style="5" customWidth="1" collapsed="1"/>
    <col min="6" max="6" width="14" style="5" hidden="1" customWidth="1" outlineLevel="1"/>
    <col min="7" max="7" width="10.88671875" style="5" hidden="1" customWidth="1" outlineLevel="1"/>
    <col min="8" max="8" width="18.44140625" style="5" hidden="1" customWidth="1" outlineLevel="1"/>
    <col min="9" max="9" width="13.109375" style="5" hidden="1" customWidth="1" outlineLevel="1"/>
    <col min="10" max="10" width="7.88671875" style="5" hidden="1" customWidth="1" outlineLevel="1"/>
    <col min="11" max="11" width="13.33203125" style="5" hidden="1" customWidth="1" outlineLevel="1"/>
    <col min="12" max="12" width="11.109375" style="5" hidden="1" customWidth="1" outlineLevel="1"/>
    <col min="13" max="13" width="15.33203125" style="5" hidden="1" customWidth="1" outlineLevel="1"/>
    <col min="14" max="14" width="12.33203125" style="5" hidden="1" customWidth="1" outlineLevel="1"/>
    <col min="15" max="15" width="12.6640625" style="5" customWidth="1"/>
    <col min="16" max="16" width="14.6640625" style="5" customWidth="1"/>
    <col min="17" max="17" width="11.109375" style="5" customWidth="1"/>
    <col min="18" max="18" width="12.6640625" style="5" customWidth="1"/>
    <col min="19" max="19" width="13.6640625" style="5" customWidth="1"/>
    <col min="20" max="20" width="12.5546875" style="5" customWidth="1"/>
    <col min="21" max="21" width="14.6640625" style="5" customWidth="1"/>
    <col min="22" max="22" width="18.77734375" style="5" customWidth="1"/>
    <col min="23" max="16384" width="9.109375" style="5"/>
  </cols>
  <sheetData>
    <row r="1" spans="1:23" ht="30" customHeight="1">
      <c r="A1" s="401" t="s">
        <v>356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</row>
    <row r="2" spans="1:23" s="106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  <c r="W2" s="9"/>
    </row>
    <row r="3" spans="1:23" s="106" customFormat="1" ht="78.75" customHeight="1" thickBot="1">
      <c r="A3" s="359"/>
      <c r="B3" s="359"/>
      <c r="C3" s="359"/>
      <c r="D3" s="359"/>
      <c r="E3" s="168" t="s">
        <v>21</v>
      </c>
      <c r="F3" s="168" t="s">
        <v>14</v>
      </c>
      <c r="G3" s="168" t="s">
        <v>6</v>
      </c>
      <c r="H3" s="168" t="s">
        <v>7</v>
      </c>
      <c r="I3" s="168" t="s">
        <v>13</v>
      </c>
      <c r="J3" s="168" t="s">
        <v>12</v>
      </c>
      <c r="K3" s="168" t="s">
        <v>11</v>
      </c>
      <c r="L3" s="168" t="s">
        <v>9</v>
      </c>
      <c r="M3" s="168" t="s">
        <v>16</v>
      </c>
      <c r="N3" s="168" t="s">
        <v>17</v>
      </c>
      <c r="O3" s="168" t="s">
        <v>2</v>
      </c>
      <c r="P3" s="168" t="s">
        <v>34</v>
      </c>
      <c r="Q3" s="168" t="s">
        <v>37</v>
      </c>
      <c r="R3" s="168" t="s">
        <v>36</v>
      </c>
      <c r="S3" s="168" t="s">
        <v>29</v>
      </c>
      <c r="T3" s="168" t="s">
        <v>3</v>
      </c>
      <c r="U3" s="364"/>
      <c r="V3" s="405"/>
      <c r="W3" s="9"/>
    </row>
    <row r="4" spans="1:23" ht="90" customHeight="1">
      <c r="A4" s="354"/>
      <c r="B4" s="39" t="s">
        <v>359</v>
      </c>
      <c r="C4" s="198">
        <f>VLOOKUP(B4,Данные!A1:Z358,26,FALSE)</f>
        <v>7001</v>
      </c>
      <c r="D4" s="342" t="s">
        <v>357</v>
      </c>
      <c r="E4" s="344" t="str">
        <f>CONCATENATE(CONCATENATE($F$3,": ",$F4,CHAR(10),$G$3,": ",$G4,CHAR(10),$H$3,": ",$H4,CHAR(10),$I$3,": ",$I4,CHAR(10),$J$3,": ",$J4,CHAR(10),$K$3,": ",$K4,CHAR(10),$L$3,": ",$L4,CHAR(10)),"*Цветовая темп.: 5000К (по умолчанию), 3000К, 4000К (опционально)","
**IP54 - удорожание на 200 р.")</f>
        <v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**IP54 - удорожание на 200 р.</v>
      </c>
      <c r="F4" s="163" t="str">
        <f>VLOOKUP($B4,Данные!$A$1:$U$1009,6,FALSE)</f>
        <v>Д (Косинусная)</v>
      </c>
      <c r="G4" s="163" t="str">
        <f>VLOOKUP($B4,Данные!$A$1:$U$1009,8,FALSE)</f>
        <v>Samsung LM281</v>
      </c>
      <c r="H4" s="163" t="str">
        <f>VLOOKUP($B4,Данные!$A$1:$U$1009,12,FALSE)</f>
        <v>Рассеиватель - акрил (ПММА), основание - металл с порошковой покраской</v>
      </c>
      <c r="I4" s="163" t="str">
        <f>VLOOKUP($B4,Данные!$A$1:$U$1009,4,FALSE)</f>
        <v>176-264В AС</v>
      </c>
      <c r="J4" s="163">
        <f>VLOOKUP($B4,Данные!$A$1:$U$1009,5,FALSE)</f>
        <v>0.95</v>
      </c>
      <c r="K4" s="163" t="str">
        <f>VLOOKUP($B4,Данные!$A$1:$U$1009,13,FALSE)</f>
        <v xml:space="preserve"> -5°...+35° С</v>
      </c>
      <c r="L4" s="163" t="str">
        <f>VLOOKUP($B4,Данные!$A$1:$U$1009,14,FALSE)</f>
        <v>100 000 ч</v>
      </c>
      <c r="M4" s="163">
        <f>VLOOKUP($B4,Данные!$A$1:$U$1009,10,FALSE)</f>
        <v>0</v>
      </c>
      <c r="N4" s="163">
        <f>VLOOKUP($B4,Данные!$A$1:$U$1009,11,FALSE)</f>
        <v>0</v>
      </c>
      <c r="O4" s="24" t="str">
        <f>VLOOKUP($B4,Данные!$A$1:$U$1009,9,FALSE)</f>
        <v>-</v>
      </c>
      <c r="P4" s="21">
        <f>VLOOKUP($B4,Данные!$A$1:$U$1009,2,FALSE)</f>
        <v>30</v>
      </c>
      <c r="Q4" s="22">
        <f>VLOOKUP($B4,Данные!$A$1:$U$1009,3,FALSE)</f>
        <v>3600</v>
      </c>
      <c r="R4" s="23">
        <f>Q4/P4</f>
        <v>120</v>
      </c>
      <c r="S4" s="37" t="str">
        <f>VLOOKUP($B4,Данные!$A$1:$U$1009,15,FALSE)</f>
        <v>5000К 4000К* 3000К*</v>
      </c>
      <c r="T4" s="37" t="str">
        <f>VLOOKUP($B4,Данные!$A$1:$U$1009,7,FALSE)</f>
        <v>20**</v>
      </c>
      <c r="U4" s="108" t="str">
        <f>VLOOKUP($B4,Данные!$A$1:$U$1009,16,FALSE)</f>
        <v>5 лет</v>
      </c>
      <c r="V4" s="406">
        <v>1740</v>
      </c>
    </row>
    <row r="5" spans="1:23" ht="90" customHeight="1">
      <c r="A5" s="355"/>
      <c r="B5" s="40" t="s">
        <v>360</v>
      </c>
      <c r="C5" s="199">
        <f>VLOOKUP(B5,Данные!A2:Z359,26,FALSE)</f>
        <v>7002</v>
      </c>
      <c r="D5" s="337"/>
      <c r="E5" s="338"/>
      <c r="F5" s="164" t="str">
        <f>VLOOKUP($B5,Данные!$A$1:$U$1009,6,FALSE)</f>
        <v>Д (Косинусная)</v>
      </c>
      <c r="G5" s="164" t="str">
        <f>VLOOKUP($B5,Данные!$A$1:$U$1009,8,FALSE)</f>
        <v>Samsung LM281</v>
      </c>
      <c r="H5" s="164" t="str">
        <f>VLOOKUP($B5,Данные!$A$1:$U$1009,12,FALSE)</f>
        <v>Рассеиватель - акрил (ПММА), основание - металл с порошковой покраской</v>
      </c>
      <c r="I5" s="164" t="str">
        <f>VLOOKUP($B5,Данные!$A$1:$U$1009,4,FALSE)</f>
        <v>176-264В AС</v>
      </c>
      <c r="J5" s="164">
        <f>VLOOKUP($B5,Данные!$A$1:$U$1009,5,FALSE)</f>
        <v>0.95</v>
      </c>
      <c r="K5" s="164" t="str">
        <f>VLOOKUP($B5,Данные!$A$1:$U$1009,13,FALSE)</f>
        <v xml:space="preserve"> -5°...+35° С</v>
      </c>
      <c r="L5" s="164" t="str">
        <f>VLOOKUP($B5,Данные!$A$1:$U$1009,14,FALSE)</f>
        <v>100 000 ч</v>
      </c>
      <c r="M5" s="164">
        <f>VLOOKUP($B5,Данные!$A$1:$U$1009,10,FALSE)</f>
        <v>0</v>
      </c>
      <c r="N5" s="164">
        <f>VLOOKUP($B5,Данные!$A$1:$U$1009,11,FALSE)</f>
        <v>0</v>
      </c>
      <c r="O5" s="166" t="str">
        <f>VLOOKUP($B5,Данные!$A$1:$U$1009,9,FALSE)</f>
        <v>-</v>
      </c>
      <c r="P5" s="29">
        <f>VLOOKUP($B5,Данные!$A$1:$U$1009,2,FALSE)</f>
        <v>40</v>
      </c>
      <c r="Q5" s="30">
        <f>VLOOKUP($B5,Данные!$A$1:$U$1009,3,FALSE)</f>
        <v>4800</v>
      </c>
      <c r="R5" s="31">
        <f t="shared" ref="R5:R6" si="0">Q5/P5</f>
        <v>120</v>
      </c>
      <c r="S5" s="36" t="str">
        <f>VLOOKUP($B5,Данные!$A$1:$U$1009,15,FALSE)</f>
        <v>5000К 4000К* 3000К*</v>
      </c>
      <c r="T5" s="36" t="str">
        <f>VLOOKUP($B5,Данные!$A$1:$U$1009,7,FALSE)</f>
        <v>20**</v>
      </c>
      <c r="U5" s="109" t="str">
        <f>VLOOKUP($B5,Данные!$A$1:$U$1009,16,FALSE)</f>
        <v>5 лет</v>
      </c>
      <c r="V5" s="407">
        <v>1975</v>
      </c>
    </row>
    <row r="6" spans="1:23" ht="90" customHeight="1" thickBot="1">
      <c r="A6" s="356"/>
      <c r="B6" s="40" t="s">
        <v>361</v>
      </c>
      <c r="C6" s="199">
        <f>VLOOKUP(B6,Данные!A3:Z360,26,FALSE)</f>
        <v>7003</v>
      </c>
      <c r="D6" s="343"/>
      <c r="E6" s="345"/>
      <c r="F6" s="165" t="str">
        <f>VLOOKUP($B6,Данные!$A$1:$U$1009,6,FALSE)</f>
        <v>Д (Косинусная)</v>
      </c>
      <c r="G6" s="165" t="str">
        <f>VLOOKUP($B6,Данные!$A$1:$U$1009,8,FALSE)</f>
        <v>Samsung LM281</v>
      </c>
      <c r="H6" s="165" t="str">
        <f>VLOOKUP($B6,Данные!$A$1:$U$1009,12,FALSE)</f>
        <v>Рассеиватель - акрил (ПММА), основание - металл с порошковой покраской</v>
      </c>
      <c r="I6" s="165" t="str">
        <f>VLOOKUP($B6,Данные!$A$1:$U$1009,4,FALSE)</f>
        <v>176-264В AС</v>
      </c>
      <c r="J6" s="165">
        <f>VLOOKUP($B6,Данные!$A$1:$U$1009,5,FALSE)</f>
        <v>0.95</v>
      </c>
      <c r="K6" s="165" t="str">
        <f>VLOOKUP($B6,Данные!$A$1:$U$1009,13,FALSE)</f>
        <v xml:space="preserve"> -5°...+35° С</v>
      </c>
      <c r="L6" s="165" t="str">
        <f>VLOOKUP($B6,Данные!$A$1:$U$1009,14,FALSE)</f>
        <v>100 000 ч</v>
      </c>
      <c r="M6" s="165">
        <f>VLOOKUP($B6,Данные!$A$1:$U$1009,10,FALSE)</f>
        <v>0</v>
      </c>
      <c r="N6" s="165">
        <f>VLOOKUP($B6,Данные!$A$1:$U$1009,11,FALSE)</f>
        <v>0</v>
      </c>
      <c r="O6" s="167" t="str">
        <f>VLOOKUP($B6,Данные!$A$1:$U$1009,9,FALSE)</f>
        <v>-</v>
      </c>
      <c r="P6" s="25">
        <f>VLOOKUP($B6,Данные!$A$1:$U$1009,2,FALSE)</f>
        <v>50</v>
      </c>
      <c r="Q6" s="26">
        <f>VLOOKUP($B6,Данные!$A$1:$U$1009,3,FALSE)</f>
        <v>6000</v>
      </c>
      <c r="R6" s="27">
        <f t="shared" si="0"/>
        <v>120</v>
      </c>
      <c r="S6" s="38" t="str">
        <f>VLOOKUP($B6,Данные!$A$1:$U$1009,15,FALSE)</f>
        <v>5000К 4000К* 3000К*</v>
      </c>
      <c r="T6" s="38" t="str">
        <f>VLOOKUP($B6,Данные!$A$1:$U$1009,7,FALSE)</f>
        <v>20**</v>
      </c>
      <c r="U6" s="110" t="str">
        <f>VLOOKUP($B6,Данные!$A$1:$U$1009,16,FALSE)</f>
        <v>5 лет</v>
      </c>
      <c r="V6" s="408">
        <v>2195</v>
      </c>
    </row>
    <row r="7" spans="1:23" ht="90" customHeight="1">
      <c r="A7" s="354"/>
      <c r="B7" s="39" t="s">
        <v>362</v>
      </c>
      <c r="C7" s="198">
        <f>VLOOKUP(B7,Данные!A4:Z361,26,FALSE)</f>
        <v>7004</v>
      </c>
      <c r="D7" s="342" t="s">
        <v>357</v>
      </c>
      <c r="E7" s="344" t="str">
        <f>CONCATENATE(CONCATENATE($F$3,": ",$F7,CHAR(10),$G$3,": ",$G7,CHAR(10),$H$3,": ",$H7,CHAR(10),$I$3,": ",$I7,CHAR(10),$J$3,": ",$J7,CHAR(10),$K$3,": ",$K7,CHAR(10),$L$3,": ",$L7,CHAR(10)),"*Цветовая темп.: 5000К (по умолчанию), 3000К, 4000К (опционально)","
**IP54 - удорожание на 200 р.")</f>
        <v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**IP54 - удорожание на 200 р.</v>
      </c>
      <c r="F7" s="163" t="str">
        <f>VLOOKUP($B7,Данные!$A$1:$U$1009,6,FALSE)</f>
        <v>Д (Косинусная)</v>
      </c>
      <c r="G7" s="163" t="str">
        <f>VLOOKUP($B7,Данные!$A$1:$U$1009,8,FALSE)</f>
        <v>Samsung LM281</v>
      </c>
      <c r="H7" s="163" t="str">
        <f>VLOOKUP($B7,Данные!$A$1:$U$1009,12,FALSE)</f>
        <v>Рассеиватель - акрил (ПММА), основание - металл с порошковой покраской</v>
      </c>
      <c r="I7" s="163" t="str">
        <f>VLOOKUP($B7,Данные!$A$1:$U$1009,4,FALSE)</f>
        <v>176-264В AС</v>
      </c>
      <c r="J7" s="163">
        <f>VLOOKUP($B7,Данные!$A$1:$U$1009,5,FALSE)</f>
        <v>0.95</v>
      </c>
      <c r="K7" s="163" t="str">
        <f>VLOOKUP($B7,Данные!$A$1:$U$1009,13,FALSE)</f>
        <v xml:space="preserve"> -5°...+35° С</v>
      </c>
      <c r="L7" s="163" t="str">
        <f>VLOOKUP($B7,Данные!$A$1:$U$1009,14,FALSE)</f>
        <v>100 000 ч</v>
      </c>
      <c r="M7" s="163">
        <f>VLOOKUP($B7,Данные!$A$1:$U$1009,10,FALSE)</f>
        <v>0</v>
      </c>
      <c r="N7" s="163">
        <f>VLOOKUP($B7,Данные!$A$1:$U$1009,11,FALSE)</f>
        <v>0</v>
      </c>
      <c r="O7" s="24" t="str">
        <f>VLOOKUP($B7,Данные!$A$1:$U$1009,9,FALSE)</f>
        <v>-</v>
      </c>
      <c r="P7" s="21">
        <f>VLOOKUP($B7,Данные!$A$1:$U$1009,2,FALSE)</f>
        <v>30</v>
      </c>
      <c r="Q7" s="22">
        <f>VLOOKUP($B7,Данные!$A$1:$U$1009,3,FALSE)</f>
        <v>3600</v>
      </c>
      <c r="R7" s="23">
        <f>Q7/P7</f>
        <v>120</v>
      </c>
      <c r="S7" s="37" t="str">
        <f>VLOOKUP($B7,Данные!$A$1:$U$1009,15,FALSE)</f>
        <v>5000К 4000К* 3000К*</v>
      </c>
      <c r="T7" s="37" t="str">
        <f>VLOOKUP($B7,Данные!$A$1:$U$1009,7,FALSE)</f>
        <v>20**</v>
      </c>
      <c r="U7" s="108" t="str">
        <f>VLOOKUP($B7,Данные!$A$1:$U$1009,16,FALSE)</f>
        <v>5 лет</v>
      </c>
      <c r="V7" s="406">
        <v>1740</v>
      </c>
    </row>
    <row r="8" spans="1:23" ht="90" customHeight="1">
      <c r="A8" s="355"/>
      <c r="B8" s="40" t="s">
        <v>367</v>
      </c>
      <c r="C8" s="199">
        <f>VLOOKUP(B8,Данные!A5:Z362,26,FALSE)</f>
        <v>7005</v>
      </c>
      <c r="D8" s="337"/>
      <c r="E8" s="338"/>
      <c r="F8" s="164" t="str">
        <f>VLOOKUP($B8,Данные!$A$1:$U$1009,6,FALSE)</f>
        <v>Д (Косинусная)</v>
      </c>
      <c r="G8" s="164" t="str">
        <f>VLOOKUP($B8,Данные!$A$1:$U$1009,8,FALSE)</f>
        <v>Samsung LM281</v>
      </c>
      <c r="H8" s="164" t="str">
        <f>VLOOKUP($B8,Данные!$A$1:$U$1009,12,FALSE)</f>
        <v>Рассеиватель - акрил (ПММА), основание - металл с порошковой покраской</v>
      </c>
      <c r="I8" s="164" t="str">
        <f>VLOOKUP($B8,Данные!$A$1:$U$1009,4,FALSE)</f>
        <v>176-264В AС</v>
      </c>
      <c r="J8" s="164">
        <f>VLOOKUP($B8,Данные!$A$1:$U$1009,5,FALSE)</f>
        <v>0.95</v>
      </c>
      <c r="K8" s="164" t="str">
        <f>VLOOKUP($B8,Данные!$A$1:$U$1009,13,FALSE)</f>
        <v xml:space="preserve"> -5°...+35° С</v>
      </c>
      <c r="L8" s="164" t="str">
        <f>VLOOKUP($B8,Данные!$A$1:$U$1009,14,FALSE)</f>
        <v>100 000 ч</v>
      </c>
      <c r="M8" s="164">
        <f>VLOOKUP($B8,Данные!$A$1:$U$1009,10,FALSE)</f>
        <v>0</v>
      </c>
      <c r="N8" s="164">
        <f>VLOOKUP($B8,Данные!$A$1:$U$1009,11,FALSE)</f>
        <v>0</v>
      </c>
      <c r="O8" s="166" t="str">
        <f>VLOOKUP($B8,Данные!$A$1:$U$1009,9,FALSE)</f>
        <v>-</v>
      </c>
      <c r="P8" s="29">
        <f>VLOOKUP($B8,Данные!$A$1:$U$1009,2,FALSE)</f>
        <v>40</v>
      </c>
      <c r="Q8" s="30">
        <f>VLOOKUP($B8,Данные!$A$1:$U$1009,3,FALSE)</f>
        <v>4800</v>
      </c>
      <c r="R8" s="31">
        <f t="shared" ref="R8:R9" si="1">Q8/P8</f>
        <v>120</v>
      </c>
      <c r="S8" s="36" t="str">
        <f>VLOOKUP($B8,Данные!$A$1:$U$1009,15,FALSE)</f>
        <v>5000К 4000К* 3000К*</v>
      </c>
      <c r="T8" s="36" t="str">
        <f>VLOOKUP($B8,Данные!$A$1:$U$1009,7,FALSE)</f>
        <v>20**</v>
      </c>
      <c r="U8" s="109" t="str">
        <f>VLOOKUP($B8,Данные!$A$1:$U$1009,16,FALSE)</f>
        <v>5 лет</v>
      </c>
      <c r="V8" s="407">
        <v>1975</v>
      </c>
    </row>
    <row r="9" spans="1:23" ht="90" customHeight="1" thickBot="1">
      <c r="A9" s="356"/>
      <c r="B9" s="40" t="s">
        <v>368</v>
      </c>
      <c r="C9" s="199">
        <f>VLOOKUP(B9,Данные!A6:Z363,26,FALSE)</f>
        <v>7006</v>
      </c>
      <c r="D9" s="343"/>
      <c r="E9" s="345"/>
      <c r="F9" s="165" t="str">
        <f>VLOOKUP($B9,Данные!$A$1:$U$1009,6,FALSE)</f>
        <v>Д (Косинусная)</v>
      </c>
      <c r="G9" s="165" t="str">
        <f>VLOOKUP($B9,Данные!$A$1:$U$1009,8,FALSE)</f>
        <v>Samsung LM281</v>
      </c>
      <c r="H9" s="165" t="str">
        <f>VLOOKUP($B9,Данные!$A$1:$U$1009,12,FALSE)</f>
        <v>Рассеиватель - акрил (ПММА), основание - металл с порошковой покраской</v>
      </c>
      <c r="I9" s="165" t="str">
        <f>VLOOKUP($B9,Данные!$A$1:$U$1009,4,FALSE)</f>
        <v>176-264В AС</v>
      </c>
      <c r="J9" s="165">
        <f>VLOOKUP($B9,Данные!$A$1:$U$1009,5,FALSE)</f>
        <v>0.95</v>
      </c>
      <c r="K9" s="165" t="str">
        <f>VLOOKUP($B9,Данные!$A$1:$U$1009,13,FALSE)</f>
        <v xml:space="preserve"> -5°...+35° С</v>
      </c>
      <c r="L9" s="165" t="str">
        <f>VLOOKUP($B9,Данные!$A$1:$U$1009,14,FALSE)</f>
        <v>100 000 ч</v>
      </c>
      <c r="M9" s="165">
        <f>VLOOKUP($B9,Данные!$A$1:$U$1009,10,FALSE)</f>
        <v>0</v>
      </c>
      <c r="N9" s="165">
        <f>VLOOKUP($B9,Данные!$A$1:$U$1009,11,FALSE)</f>
        <v>0</v>
      </c>
      <c r="O9" s="167" t="str">
        <f>VLOOKUP($B9,Данные!$A$1:$U$1009,9,FALSE)</f>
        <v>-</v>
      </c>
      <c r="P9" s="25">
        <f>VLOOKUP($B9,Данные!$A$1:$U$1009,2,FALSE)</f>
        <v>50</v>
      </c>
      <c r="Q9" s="26">
        <f>VLOOKUP($B9,Данные!$A$1:$U$1009,3,FALSE)</f>
        <v>6000</v>
      </c>
      <c r="R9" s="27">
        <f t="shared" si="1"/>
        <v>120</v>
      </c>
      <c r="S9" s="38" t="str">
        <f>VLOOKUP($B9,Данные!$A$1:$U$1009,15,FALSE)</f>
        <v>5000К 4000К* 3000К*</v>
      </c>
      <c r="T9" s="38" t="str">
        <f>VLOOKUP($B9,Данные!$A$1:$U$1009,7,FALSE)</f>
        <v>20**</v>
      </c>
      <c r="U9" s="110" t="str">
        <f>VLOOKUP($B9,Данные!$A$1:$U$1009,16,FALSE)</f>
        <v>5 лет</v>
      </c>
      <c r="V9" s="408">
        <v>2195</v>
      </c>
    </row>
    <row r="10" spans="1:23" ht="90" customHeight="1">
      <c r="A10" s="354"/>
      <c r="B10" s="39" t="s">
        <v>363</v>
      </c>
      <c r="C10" s="198">
        <f>VLOOKUP(B10,Данные!A7:Z364,26,FALSE)</f>
        <v>7007</v>
      </c>
      <c r="D10" s="342" t="s">
        <v>357</v>
      </c>
      <c r="E10" s="344" t="str">
        <f>CONCATENATE(CONCATENATE($F$3,": ",$F10,CHAR(10),$G$3,": ",$G10,CHAR(10),$H$3,": ",$H10,CHAR(10),$I$3,": ",$I10,CHAR(10),$J$3,": ",$J10,CHAR(10),$K$3,": ",$K10,CHAR(10),$L$3,": ",$L10,CHAR(10)),"*Цветовая темп.: 5000К (по умолчанию), 3000К, 4000К (опционально)","
**IP54 - удорожание на 200 р.")</f>
        <v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**IP54 - удорожание на 200 р.</v>
      </c>
      <c r="F10" s="163" t="str">
        <f>VLOOKUP($B10,Данные!$A$1:$U$1009,6,FALSE)</f>
        <v>Д (Косинусная)</v>
      </c>
      <c r="G10" s="163" t="str">
        <f>VLOOKUP($B10,Данные!$A$1:$U$1009,8,FALSE)</f>
        <v>Samsung LM281</v>
      </c>
      <c r="H10" s="163" t="str">
        <f>VLOOKUP($B10,Данные!$A$1:$U$1009,12,FALSE)</f>
        <v>Рассеиватель - акрил (ПММА), основание - металл с порошковой покраской</v>
      </c>
      <c r="I10" s="163" t="str">
        <f>VLOOKUP($B10,Данные!$A$1:$U$1009,4,FALSE)</f>
        <v>176-264В AС</v>
      </c>
      <c r="J10" s="163">
        <f>VLOOKUP($B10,Данные!$A$1:$U$1009,5,FALSE)</f>
        <v>0.95</v>
      </c>
      <c r="K10" s="163" t="str">
        <f>VLOOKUP($B10,Данные!$A$1:$U$1009,13,FALSE)</f>
        <v xml:space="preserve"> -5°...+35° С</v>
      </c>
      <c r="L10" s="163" t="str">
        <f>VLOOKUP($B10,Данные!$A$1:$U$1009,14,FALSE)</f>
        <v>100 000 ч</v>
      </c>
      <c r="M10" s="163">
        <f>VLOOKUP($B10,Данные!$A$1:$U$1009,10,FALSE)</f>
        <v>0</v>
      </c>
      <c r="N10" s="163">
        <f>VLOOKUP($B10,Данные!$A$1:$U$1009,11,FALSE)</f>
        <v>0</v>
      </c>
      <c r="O10" s="24" t="str">
        <f>VLOOKUP($B10,Данные!$A$1:$U$1009,9,FALSE)</f>
        <v>-</v>
      </c>
      <c r="P10" s="21">
        <f>VLOOKUP($B10,Данные!$A$1:$U$1009,2,FALSE)</f>
        <v>30</v>
      </c>
      <c r="Q10" s="22">
        <f>VLOOKUP($B10,Данные!$A$1:$U$1009,3,FALSE)</f>
        <v>3600</v>
      </c>
      <c r="R10" s="23">
        <f>Q10/P10</f>
        <v>120</v>
      </c>
      <c r="S10" s="37" t="str">
        <f>VLOOKUP($B10,Данные!$A$1:$U$1009,15,FALSE)</f>
        <v>5000К 4000К* 3000К*</v>
      </c>
      <c r="T10" s="37" t="str">
        <f>VLOOKUP($B10,Данные!$A$1:$U$1009,7,FALSE)</f>
        <v>20**</v>
      </c>
      <c r="U10" s="108" t="str">
        <f>VLOOKUP($B10,Данные!$A$1:$U$1009,16,FALSE)</f>
        <v>5 лет</v>
      </c>
      <c r="V10" s="406">
        <v>1740</v>
      </c>
    </row>
    <row r="11" spans="1:23" ht="90" customHeight="1">
      <c r="A11" s="355"/>
      <c r="B11" s="40" t="s">
        <v>369</v>
      </c>
      <c r="C11" s="199">
        <f>VLOOKUP(B11,Данные!A8:Z365,26,FALSE)</f>
        <v>7008</v>
      </c>
      <c r="D11" s="337"/>
      <c r="E11" s="338"/>
      <c r="F11" s="164" t="str">
        <f>VLOOKUP($B11,Данные!$A$1:$U$1009,6,FALSE)</f>
        <v>Д (Косинусная)</v>
      </c>
      <c r="G11" s="164" t="str">
        <f>VLOOKUP($B11,Данные!$A$1:$U$1009,8,FALSE)</f>
        <v>Samsung LM281</v>
      </c>
      <c r="H11" s="164" t="str">
        <f>VLOOKUP($B11,Данные!$A$1:$U$1009,12,FALSE)</f>
        <v>Рассеиватель - акрил (ПММА), основание - металл с порошковой покраской</v>
      </c>
      <c r="I11" s="164" t="str">
        <f>VLOOKUP($B11,Данные!$A$1:$U$1009,4,FALSE)</f>
        <v>176-264В AС</v>
      </c>
      <c r="J11" s="164">
        <f>VLOOKUP($B11,Данные!$A$1:$U$1009,5,FALSE)</f>
        <v>0.95</v>
      </c>
      <c r="K11" s="164" t="str">
        <f>VLOOKUP($B11,Данные!$A$1:$U$1009,13,FALSE)</f>
        <v xml:space="preserve"> -5°...+35° С</v>
      </c>
      <c r="L11" s="164" t="str">
        <f>VLOOKUP($B11,Данные!$A$1:$U$1009,14,FALSE)</f>
        <v>100 000 ч</v>
      </c>
      <c r="M11" s="164">
        <f>VLOOKUP($B11,Данные!$A$1:$U$1009,10,FALSE)</f>
        <v>0</v>
      </c>
      <c r="N11" s="164">
        <f>VLOOKUP($B11,Данные!$A$1:$U$1009,11,FALSE)</f>
        <v>0</v>
      </c>
      <c r="O11" s="166" t="str">
        <f>VLOOKUP($B11,Данные!$A$1:$U$1009,9,FALSE)</f>
        <v>-</v>
      </c>
      <c r="P11" s="29">
        <f>VLOOKUP($B11,Данные!$A$1:$U$1009,2,FALSE)</f>
        <v>40</v>
      </c>
      <c r="Q11" s="30">
        <f>VLOOKUP($B11,Данные!$A$1:$U$1009,3,FALSE)</f>
        <v>4800</v>
      </c>
      <c r="R11" s="31">
        <f t="shared" ref="R11:R15" si="2">Q11/P11</f>
        <v>120</v>
      </c>
      <c r="S11" s="36" t="str">
        <f>VLOOKUP($B11,Данные!$A$1:$U$1009,15,FALSE)</f>
        <v>5000К 4000К* 3000К*</v>
      </c>
      <c r="T11" s="36" t="str">
        <f>VLOOKUP($B11,Данные!$A$1:$U$1009,7,FALSE)</f>
        <v>20**</v>
      </c>
      <c r="U11" s="109" t="str">
        <f>VLOOKUP($B11,Данные!$A$1:$U$1009,16,FALSE)</f>
        <v>5 лет</v>
      </c>
      <c r="V11" s="407">
        <v>1975</v>
      </c>
    </row>
    <row r="12" spans="1:23" ht="90" customHeight="1" thickBot="1">
      <c r="A12" s="356"/>
      <c r="B12" s="40" t="s">
        <v>370</v>
      </c>
      <c r="C12" s="199">
        <f>VLOOKUP(B12,Данные!A9:Z366,26,FALSE)</f>
        <v>7009</v>
      </c>
      <c r="D12" s="343"/>
      <c r="E12" s="345"/>
      <c r="F12" s="165" t="str">
        <f>VLOOKUP($B12,Данные!$A$1:$U$1009,6,FALSE)</f>
        <v>Д (Косинусная)</v>
      </c>
      <c r="G12" s="165" t="str">
        <f>VLOOKUP($B12,Данные!$A$1:$U$1009,8,FALSE)</f>
        <v>Samsung LM281</v>
      </c>
      <c r="H12" s="165" t="str">
        <f>VLOOKUP($B12,Данные!$A$1:$U$1009,12,FALSE)</f>
        <v>Рассеиватель - акрил (ПММА), основание - металл с порошковой покраской</v>
      </c>
      <c r="I12" s="165" t="str">
        <f>VLOOKUP($B12,Данные!$A$1:$U$1009,4,FALSE)</f>
        <v>176-264В AС</v>
      </c>
      <c r="J12" s="165">
        <f>VLOOKUP($B12,Данные!$A$1:$U$1009,5,FALSE)</f>
        <v>0.95</v>
      </c>
      <c r="K12" s="165" t="str">
        <f>VLOOKUP($B12,Данные!$A$1:$U$1009,13,FALSE)</f>
        <v xml:space="preserve"> -5°...+35° С</v>
      </c>
      <c r="L12" s="165" t="str">
        <f>VLOOKUP($B12,Данные!$A$1:$U$1009,14,FALSE)</f>
        <v>100 000 ч</v>
      </c>
      <c r="M12" s="165">
        <f>VLOOKUP($B12,Данные!$A$1:$U$1009,10,FALSE)</f>
        <v>0</v>
      </c>
      <c r="N12" s="165">
        <f>VLOOKUP($B12,Данные!$A$1:$U$1009,11,FALSE)</f>
        <v>0</v>
      </c>
      <c r="O12" s="167" t="str">
        <f>VLOOKUP($B12,Данные!$A$1:$U$1009,9,FALSE)</f>
        <v>-</v>
      </c>
      <c r="P12" s="25">
        <f>VLOOKUP($B12,Данные!$A$1:$U$1009,2,FALSE)</f>
        <v>50</v>
      </c>
      <c r="Q12" s="26">
        <f>VLOOKUP($B12,Данные!$A$1:$U$1009,3,FALSE)</f>
        <v>6000</v>
      </c>
      <c r="R12" s="27">
        <f t="shared" si="2"/>
        <v>120</v>
      </c>
      <c r="S12" s="38" t="str">
        <f>VLOOKUP($B12,Данные!$A$1:$U$1009,15,FALSE)</f>
        <v>5000К 4000К* 3000К*</v>
      </c>
      <c r="T12" s="38" t="str">
        <f>VLOOKUP($B12,Данные!$A$1:$U$1009,7,FALSE)</f>
        <v>20**</v>
      </c>
      <c r="U12" s="110" t="str">
        <f>VLOOKUP($B12,Данные!$A$1:$U$1009,16,FALSE)</f>
        <v>5 лет</v>
      </c>
      <c r="V12" s="408">
        <v>2195</v>
      </c>
    </row>
    <row r="13" spans="1:23" ht="90" customHeight="1">
      <c r="A13" s="349"/>
      <c r="B13" s="39" t="s">
        <v>371</v>
      </c>
      <c r="C13" s="198">
        <f>VLOOKUP(B13,Данные!A10:Z367,26,FALSE)</f>
        <v>7010</v>
      </c>
      <c r="D13" s="342" t="s">
        <v>357</v>
      </c>
      <c r="E13" s="344" t="str">
        <f>CONCATENATE(CONCATENATE($F$3,": ",$F13,CHAR(10),$G$3,": ",$G13,CHAR(10),$H$3,": ",$H13,CHAR(10),$I$3,": ",$I13,CHAR(10),$J$3,": ",$J13,CHAR(10),$K$3,": ",$K13,CHAR(10),$L$3,": ",$L13,CHAR(10)),"*Цветовая темп.: 5000К (по умолчанию), 3000К, 4000К (опционально)","
**IP54 - удорожание на 200 р.")</f>
        <v>КСС: Д (Косинусная)
Светодиоды: Samsung LM281
Материал: Рассеиватель - акрил (ПММА), основание - металл с порошковой покраской
Рабочее напряжение: 176-264В AС
Сos φ: 0,95
Рабочая t°:  -5°...+35° С
Срок службы: 100 000 ч
*Цветовая темп.: 5000К (по умолчанию), 3000К, 4000К (опционально)
**IP54 - удорожание на 200 р.</v>
      </c>
      <c r="F13" s="164" t="str">
        <f>VLOOKUP($B13,Данные!$A$1:$U$1009,6,FALSE)</f>
        <v>Д (Косинусная)</v>
      </c>
      <c r="G13" s="164" t="str">
        <f>VLOOKUP($B13,Данные!$A$1:$U$1009,8,FALSE)</f>
        <v>Samsung LM281</v>
      </c>
      <c r="H13" s="164" t="str">
        <f>VLOOKUP($B13,Данные!$A$1:$U$1009,12,FALSE)</f>
        <v>Рассеиватель - акрил (ПММА), основание - металл с порошковой покраской</v>
      </c>
      <c r="I13" s="164" t="str">
        <f>VLOOKUP($B13,Данные!$A$1:$U$1009,4,FALSE)</f>
        <v>176-264В AС</v>
      </c>
      <c r="J13" s="164">
        <f>VLOOKUP($B13,Данные!$A$1:$U$1009,5,FALSE)</f>
        <v>0.95</v>
      </c>
      <c r="K13" s="164" t="str">
        <f>VLOOKUP($B13,Данные!$A$1:$U$1009,13,FALSE)</f>
        <v xml:space="preserve"> -5°...+35° С</v>
      </c>
      <c r="L13" s="164" t="str">
        <f>VLOOKUP($B13,Данные!$A$1:$U$1009,14,FALSE)</f>
        <v>100 000 ч</v>
      </c>
      <c r="M13" s="164">
        <f>VLOOKUP($B13,Данные!$A$1:$U$1009,10,FALSE)</f>
        <v>0</v>
      </c>
      <c r="N13" s="164">
        <f>VLOOKUP($B13,Данные!$A$1:$U$1009,11,FALSE)</f>
        <v>0</v>
      </c>
      <c r="O13" s="166" t="str">
        <f>VLOOKUP($B13,Данные!$A$1:$U$1009,9,FALSE)</f>
        <v>-</v>
      </c>
      <c r="P13" s="29">
        <f>VLOOKUP($B13,Данные!$A$1:$U$1009,2,FALSE)</f>
        <v>30</v>
      </c>
      <c r="Q13" s="30">
        <f>VLOOKUP($B13,Данные!$A$1:$U$1009,3,FALSE)</f>
        <v>3450</v>
      </c>
      <c r="R13" s="31">
        <f t="shared" si="2"/>
        <v>115</v>
      </c>
      <c r="S13" s="36" t="str">
        <f>VLOOKUP($B13,Данные!$A$1:$U$1009,15,FALSE)</f>
        <v>5000К 4000К* 3000К*</v>
      </c>
      <c r="T13" s="36" t="str">
        <f>VLOOKUP($B13,Данные!$A$1:$U$1009,7,FALSE)</f>
        <v>20**</v>
      </c>
      <c r="U13" s="109" t="str">
        <f>VLOOKUP($B13,Данные!$A$1:$U$1009,16,FALSE)</f>
        <v>5 лет</v>
      </c>
      <c r="V13" s="407">
        <v>1740</v>
      </c>
    </row>
    <row r="14" spans="1:23" ht="90" customHeight="1">
      <c r="A14" s="350"/>
      <c r="B14" s="40" t="s">
        <v>372</v>
      </c>
      <c r="C14" s="199">
        <f>VLOOKUP(B14,Данные!A11:Z368,26,FALSE)</f>
        <v>7011</v>
      </c>
      <c r="D14" s="337"/>
      <c r="E14" s="338"/>
      <c r="F14" s="164" t="str">
        <f>VLOOKUP($B14,Данные!$A$1:$U$1009,6,FALSE)</f>
        <v>Д (Косинусная)</v>
      </c>
      <c r="G14" s="164" t="str">
        <f>VLOOKUP($B14,Данные!$A$1:$U$1009,8,FALSE)</f>
        <v>Samsung LM281</v>
      </c>
      <c r="H14" s="164" t="str">
        <f>VLOOKUP($B14,Данные!$A$1:$U$1009,12,FALSE)</f>
        <v>Рассеиватель - акрил (ПММА), основание - металл с порошковой покраской</v>
      </c>
      <c r="I14" s="164" t="str">
        <f>VLOOKUP($B14,Данные!$A$1:$U$1009,4,FALSE)</f>
        <v>176-264В AС</v>
      </c>
      <c r="J14" s="164">
        <f>VLOOKUP($B14,Данные!$A$1:$U$1009,5,FALSE)</f>
        <v>0.95</v>
      </c>
      <c r="K14" s="164" t="str">
        <f>VLOOKUP($B14,Данные!$A$1:$U$1009,13,FALSE)</f>
        <v xml:space="preserve"> -5°...+35° С</v>
      </c>
      <c r="L14" s="164" t="str">
        <f>VLOOKUP($B14,Данные!$A$1:$U$1009,14,FALSE)</f>
        <v>100 000 ч</v>
      </c>
      <c r="M14" s="164">
        <f>VLOOKUP($B14,Данные!$A$1:$U$1009,10,FALSE)</f>
        <v>0</v>
      </c>
      <c r="N14" s="164">
        <f>VLOOKUP($B14,Данные!$A$1:$U$1009,11,FALSE)</f>
        <v>0</v>
      </c>
      <c r="O14" s="166" t="str">
        <f>VLOOKUP($B14,Данные!$A$1:$U$1009,9,FALSE)</f>
        <v>-</v>
      </c>
      <c r="P14" s="29">
        <f>VLOOKUP($B14,Данные!$A$1:$U$1009,2,FALSE)</f>
        <v>40</v>
      </c>
      <c r="Q14" s="30">
        <f>VLOOKUP($B14,Данные!$A$1:$U$1009,3,FALSE)</f>
        <v>4600</v>
      </c>
      <c r="R14" s="31">
        <f t="shared" si="2"/>
        <v>115</v>
      </c>
      <c r="S14" s="36" t="str">
        <f>VLOOKUP($B14,Данные!$A$1:$U$1009,15,FALSE)</f>
        <v>5000К 4000К* 3000К*</v>
      </c>
      <c r="T14" s="36" t="str">
        <f>VLOOKUP($B14,Данные!$A$1:$U$1009,7,FALSE)</f>
        <v>20**</v>
      </c>
      <c r="U14" s="109" t="str">
        <f>VLOOKUP($B14,Данные!$A$1:$U$1009,16,FALSE)</f>
        <v>5 лет</v>
      </c>
      <c r="V14" s="407">
        <v>1975</v>
      </c>
    </row>
    <row r="15" spans="1:23" ht="90" customHeight="1" thickBot="1">
      <c r="A15" s="351"/>
      <c r="B15" s="41" t="s">
        <v>373</v>
      </c>
      <c r="C15" s="200">
        <f>VLOOKUP(B15,Данные!A12:Z369,26,FALSE)</f>
        <v>7012</v>
      </c>
      <c r="D15" s="343"/>
      <c r="E15" s="345"/>
      <c r="F15" s="164" t="str">
        <f>VLOOKUP($B15,Данные!$A$1:$U$1009,6,FALSE)</f>
        <v>Д (Косинусная)</v>
      </c>
      <c r="G15" s="164" t="str">
        <f>VLOOKUP($B15,Данные!$A$1:$U$1009,8,FALSE)</f>
        <v>Samsung LM281</v>
      </c>
      <c r="H15" s="164" t="str">
        <f>VLOOKUP($B15,Данные!$A$1:$U$1009,12,FALSE)</f>
        <v>Рассеиватель - акрил (ПММА), основание - металл с порошковой покраской</v>
      </c>
      <c r="I15" s="164" t="str">
        <f>VLOOKUP($B15,Данные!$A$1:$U$1009,4,FALSE)</f>
        <v>176-264В AС</v>
      </c>
      <c r="J15" s="164">
        <f>VLOOKUP($B15,Данные!$A$1:$U$1009,5,FALSE)</f>
        <v>0.95</v>
      </c>
      <c r="K15" s="164" t="str">
        <f>VLOOKUP($B15,Данные!$A$1:$U$1009,13,FALSE)</f>
        <v xml:space="preserve"> -5°...+35° С</v>
      </c>
      <c r="L15" s="164" t="str">
        <f>VLOOKUP($B15,Данные!$A$1:$U$1009,14,FALSE)</f>
        <v>100 000 ч</v>
      </c>
      <c r="M15" s="164">
        <f>VLOOKUP($B15,Данные!$A$1:$U$1009,10,FALSE)</f>
        <v>0</v>
      </c>
      <c r="N15" s="164">
        <f>VLOOKUP($B15,Данные!$A$1:$U$1009,11,FALSE)</f>
        <v>0</v>
      </c>
      <c r="O15" s="167" t="str">
        <f>VLOOKUP($B15,Данные!$A$1:$U$1009,9,FALSE)</f>
        <v>-</v>
      </c>
      <c r="P15" s="25">
        <f>VLOOKUP($B15,Данные!$A$1:$U$1009,2,FALSE)</f>
        <v>50</v>
      </c>
      <c r="Q15" s="26">
        <f>VLOOKUP($B15,Данные!$A$1:$U$1009,3,FALSE)</f>
        <v>5750</v>
      </c>
      <c r="R15" s="27">
        <f t="shared" si="2"/>
        <v>115</v>
      </c>
      <c r="S15" s="38" t="str">
        <f>VLOOKUP($B15,Данные!$A$1:$U$1009,15,FALSE)</f>
        <v>5000К 4000К* 3000К*</v>
      </c>
      <c r="T15" s="38" t="str">
        <f>VLOOKUP($B15,Данные!$A$1:$U$1009,7,FALSE)</f>
        <v>20**</v>
      </c>
      <c r="U15" s="110" t="str">
        <f>VLOOKUP($B15,Данные!$A$1:$U$1009,16,FALSE)</f>
        <v>5 лет</v>
      </c>
      <c r="V15" s="408">
        <v>2195</v>
      </c>
    </row>
    <row r="16" spans="1:23" s="111" customFormat="1" ht="60" customHeight="1">
      <c r="A16" s="396" t="s">
        <v>375</v>
      </c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397"/>
      <c r="U16" s="397"/>
      <c r="V16" s="397"/>
    </row>
  </sheetData>
  <mergeCells count="21">
    <mergeCell ref="A16:V16"/>
    <mergeCell ref="A10:A12"/>
    <mergeCell ref="D10:D12"/>
    <mergeCell ref="E10:E12"/>
    <mergeCell ref="A13:A15"/>
    <mergeCell ref="D13:D15"/>
    <mergeCell ref="E13:E15"/>
    <mergeCell ref="A4:A6"/>
    <mergeCell ref="D4:D6"/>
    <mergeCell ref="E4:E6"/>
    <mergeCell ref="A7:A9"/>
    <mergeCell ref="D7:D9"/>
    <mergeCell ref="E7:E9"/>
    <mergeCell ref="A1:V1"/>
    <mergeCell ref="A2:A3"/>
    <mergeCell ref="B2:B3"/>
    <mergeCell ref="D2:D3"/>
    <mergeCell ref="E2:T2"/>
    <mergeCell ref="U2:U3"/>
    <mergeCell ref="V2:V3"/>
    <mergeCell ref="C2:C3"/>
  </mergeCells>
  <pageMargins left="0.25" right="0.25" top="0.75" bottom="0.75" header="0.3" footer="0.3"/>
  <pageSetup paperSize="9" scale="49" fitToHeight="0" orientation="landscape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outlinePr summaryBelow="0" summaryRight="0"/>
    <pageSetUpPr fitToPage="1"/>
  </sheetPr>
  <dimension ref="A1:W5"/>
  <sheetViews>
    <sheetView view="pageBreakPreview" zoomScale="50" zoomScaleNormal="65" zoomScaleSheetLayoutView="50" workbookViewId="0">
      <pane xSplit="2" ySplit="3" topLeftCell="C4" activePane="bottomRight" state="frozen"/>
      <selection activeCell="E28" sqref="E28"/>
      <selection pane="topRight" activeCell="E28" sqref="E28"/>
      <selection pane="bottomLeft" activeCell="E28" sqref="E28"/>
      <selection pane="bottomRight" activeCell="X10" sqref="X10"/>
    </sheetView>
  </sheetViews>
  <sheetFormatPr defaultColWidth="9.109375" defaultRowHeight="13.8" outlineLevelCol="1"/>
  <cols>
    <col min="1" max="1" width="65.6640625" style="5" customWidth="1"/>
    <col min="2" max="2" width="32.6640625" style="97" customWidth="1"/>
    <col min="3" max="3" width="20.44140625" style="97" customWidth="1"/>
    <col min="4" max="4" width="25.6640625" style="5" customWidth="1"/>
    <col min="5" max="5" width="40.6640625" style="5" customWidth="1" collapsed="1"/>
    <col min="6" max="6" width="14" style="5" hidden="1" customWidth="1" outlineLevel="1"/>
    <col min="7" max="7" width="10.88671875" style="5" hidden="1" customWidth="1" outlineLevel="1"/>
    <col min="8" max="8" width="18.44140625" style="5" hidden="1" customWidth="1" outlineLevel="1"/>
    <col min="9" max="9" width="13.109375" style="5" hidden="1" customWidth="1" outlineLevel="1"/>
    <col min="10" max="10" width="7.88671875" style="5" hidden="1" customWidth="1" outlineLevel="1"/>
    <col min="11" max="11" width="13.33203125" style="5" hidden="1" customWidth="1" outlineLevel="1"/>
    <col min="12" max="12" width="11.109375" style="5" hidden="1" customWidth="1" outlineLevel="1"/>
    <col min="13" max="13" width="15.33203125" style="5" hidden="1" customWidth="1" outlineLevel="1"/>
    <col min="14" max="14" width="12.33203125" style="5" hidden="1" customWidth="1" outlineLevel="1"/>
    <col min="15" max="15" width="12.6640625" style="5" customWidth="1"/>
    <col min="16" max="16" width="14.6640625" style="5" customWidth="1"/>
    <col min="17" max="17" width="11.109375" style="5" customWidth="1"/>
    <col min="18" max="18" width="12.6640625" style="5" customWidth="1"/>
    <col min="19" max="19" width="13.6640625" style="5" customWidth="1"/>
    <col min="20" max="20" width="12.5546875" style="5" customWidth="1"/>
    <col min="21" max="21" width="14.6640625" style="5" customWidth="1"/>
    <col min="22" max="22" width="14.33203125" style="5" customWidth="1"/>
    <col min="23" max="16384" width="9.109375" style="5"/>
  </cols>
  <sheetData>
    <row r="1" spans="1:23" ht="30" customHeight="1">
      <c r="A1" s="401" t="s">
        <v>413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</row>
    <row r="2" spans="1:23" s="106" customFormat="1" ht="24.9" customHeight="1">
      <c r="A2" s="358" t="s">
        <v>0</v>
      </c>
      <c r="B2" s="358" t="s">
        <v>1</v>
      </c>
      <c r="C2" s="358" t="s">
        <v>414</v>
      </c>
      <c r="D2" s="358" t="s">
        <v>5</v>
      </c>
      <c r="E2" s="360" t="s">
        <v>10</v>
      </c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2"/>
      <c r="U2" s="363" t="s">
        <v>4</v>
      </c>
      <c r="V2" s="404" t="s">
        <v>583</v>
      </c>
      <c r="W2" s="9"/>
    </row>
    <row r="3" spans="1:23" s="106" customFormat="1" ht="78.75" customHeight="1" thickBot="1">
      <c r="A3" s="359"/>
      <c r="B3" s="359"/>
      <c r="C3" s="359"/>
      <c r="D3" s="359"/>
      <c r="E3" s="171" t="s">
        <v>21</v>
      </c>
      <c r="F3" s="171" t="s">
        <v>14</v>
      </c>
      <c r="G3" s="171" t="s">
        <v>6</v>
      </c>
      <c r="H3" s="171" t="s">
        <v>7</v>
      </c>
      <c r="I3" s="171" t="s">
        <v>13</v>
      </c>
      <c r="J3" s="171" t="s">
        <v>12</v>
      </c>
      <c r="K3" s="171" t="s">
        <v>11</v>
      </c>
      <c r="L3" s="171" t="s">
        <v>9</v>
      </c>
      <c r="M3" s="171" t="s">
        <v>16</v>
      </c>
      <c r="N3" s="171" t="s">
        <v>17</v>
      </c>
      <c r="O3" s="171" t="s">
        <v>2</v>
      </c>
      <c r="P3" s="171" t="s">
        <v>34</v>
      </c>
      <c r="Q3" s="171" t="s">
        <v>37</v>
      </c>
      <c r="R3" s="171" t="s">
        <v>36</v>
      </c>
      <c r="S3" s="171" t="s">
        <v>29</v>
      </c>
      <c r="T3" s="171" t="s">
        <v>3</v>
      </c>
      <c r="U3" s="364"/>
      <c r="V3" s="405"/>
      <c r="W3" s="9"/>
    </row>
    <row r="4" spans="1:23" ht="270" customHeight="1" thickBot="1">
      <c r="A4" s="176"/>
      <c r="B4" s="39" t="s">
        <v>411</v>
      </c>
      <c r="C4" s="198">
        <f>VLOOKUP(B4,Данные!A1:Z358,26,FALSE)</f>
        <v>8001</v>
      </c>
      <c r="D4" s="177" t="s">
        <v>412</v>
      </c>
      <c r="E4" s="178" t="str">
        <f>CONCATENATE(CONCATENATE($F$3,": ",$F4,CHAR(10),$G$3,": ",$G4,CHAR(10),$H$3,": ",$H4,CHAR(10),$I$3,": ",$I4,CHAR(10),$J$3,": ",$J4,CHAR(10),$K$3,": ",$K4,CHAR(10),$L$3,": ",$L4,CHAR(10)),"*Цветовая темп.: 5000К (по умолчанию), 3000К, 4000К (опционально)","
**IP54 - удорожание на 200 р.")</f>
        <v>КСС: Д (Косинусная)
Светодиоды: -
Материал: Рассеиватель - матовый поликарбонат, основание - ABS пластик
Рабочее напряжение: 200-240 AC
Сos φ: 0,95
Рабочая t°:  -10°...+35° С
Срок службы: 30 000 ч
*Цветовая темп.: 5000К (по умолчанию), 3000К, 4000К (опционально)
**IP54 - удорожание на 200 р.</v>
      </c>
      <c r="F4" s="170" t="str">
        <f>VLOOKUP($B4,Данные!$A$1:$U$1009,6,FALSE)</f>
        <v>Д (Косинусная)</v>
      </c>
      <c r="G4" s="170" t="str">
        <f>VLOOKUP($B4,Данные!$A$1:$U$1009,8,FALSE)</f>
        <v>-</v>
      </c>
      <c r="H4" s="170" t="str">
        <f>VLOOKUP($B4,Данные!$A$1:$U$1009,12,FALSE)</f>
        <v>Рассеиватель - матовый поликарбонат, основание - ABS пластик</v>
      </c>
      <c r="I4" s="170" t="str">
        <f>VLOOKUP($B4,Данные!$A$1:$U$1009,4,FALSE)</f>
        <v>200-240 AC</v>
      </c>
      <c r="J4" s="170">
        <f>VLOOKUP($B4,Данные!$A$1:$U$1009,5,FALSE)</f>
        <v>0.95</v>
      </c>
      <c r="K4" s="170" t="str">
        <f>VLOOKUP($B4,Данные!$A$1:$U$1009,13,FALSE)</f>
        <v xml:space="preserve"> -10°...+35° С</v>
      </c>
      <c r="L4" s="170" t="str">
        <f>VLOOKUP($B4,Данные!$A$1:$U$1009,14,FALSE)</f>
        <v>30 000 ч</v>
      </c>
      <c r="M4" s="170" t="str">
        <f>VLOOKUP($B4,Данные!$A$1:$U$1009,10,FALSE)</f>
        <v>170х50</v>
      </c>
      <c r="N4" s="170">
        <f>VLOOKUP($B4,Данные!$A$1:$U$1009,11,FALSE)</f>
        <v>0.19</v>
      </c>
      <c r="O4" s="24" t="str">
        <f>VLOOKUP($B4,Данные!$A$1:$U$1009,9,FALSE)</f>
        <v>-</v>
      </c>
      <c r="P4" s="21">
        <f>VLOOKUP($B4,Данные!$A$1:$U$1009,2,FALSE)</f>
        <v>12</v>
      </c>
      <c r="Q4" s="22">
        <f>VLOOKUP($B4,Данные!$A$1:$U$1009,3,FALSE)</f>
        <v>960</v>
      </c>
      <c r="R4" s="23">
        <f>Q4/P4</f>
        <v>80</v>
      </c>
      <c r="S4" s="37" t="str">
        <f>VLOOKUP($B4,Данные!$A$1:$U$1009,15,FALSE)</f>
        <v>4000К</v>
      </c>
      <c r="T4" s="37">
        <f>VLOOKUP($B4,Данные!$A$1:$U$1009,7,FALSE)</f>
        <v>65</v>
      </c>
      <c r="U4" s="108" t="str">
        <f>VLOOKUP($B4,Данные!$A$1:$U$1009,16,FALSE)</f>
        <v>1 год</v>
      </c>
      <c r="V4" s="410">
        <v>910</v>
      </c>
    </row>
    <row r="5" spans="1:23" s="111" customFormat="1" ht="60" customHeight="1">
      <c r="A5" s="402" t="s">
        <v>375</v>
      </c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</row>
  </sheetData>
  <mergeCells count="9">
    <mergeCell ref="A5:V5"/>
    <mergeCell ref="A1:V1"/>
    <mergeCell ref="A2:A3"/>
    <mergeCell ref="B2:B3"/>
    <mergeCell ref="D2:D3"/>
    <mergeCell ref="E2:T2"/>
    <mergeCell ref="U2:U3"/>
    <mergeCell ref="V2:V3"/>
    <mergeCell ref="C2:C3"/>
  </mergeCells>
  <pageMargins left="0.25" right="0.25" top="0.75" bottom="0.75" header="0.3" footer="0.3"/>
  <pageSetup paperSize="9" scale="49" fitToHeight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Раздел ЭКОНОМ</vt:lpstr>
      <vt:lpstr>Универсал</vt:lpstr>
      <vt:lpstr>Прожектор</vt:lpstr>
      <vt:lpstr>Прожектор КОБ</vt:lpstr>
      <vt:lpstr>Магистраль</vt:lpstr>
      <vt:lpstr>Склад</vt:lpstr>
      <vt:lpstr>Парк</vt:lpstr>
      <vt:lpstr>Офис</vt:lpstr>
      <vt:lpstr>ЖКХ</vt:lpstr>
      <vt:lpstr>Данные</vt:lpstr>
      <vt:lpstr>'Раздел ЭКОНОМ'!Заголовки_для_печати</vt:lpstr>
      <vt:lpstr>Универсал!Заголовки_для_печати</vt:lpstr>
      <vt:lpstr>ЖКХ!Область_печати</vt:lpstr>
      <vt:lpstr>Магистраль!Область_печати</vt:lpstr>
      <vt:lpstr>Офис!Область_печати</vt:lpstr>
      <vt:lpstr>Парк!Область_печати</vt:lpstr>
      <vt:lpstr>Прожектор!Область_печати</vt:lpstr>
      <vt:lpstr>'Раздел ЭКОНОМ'!Область_печати</vt:lpstr>
      <vt:lpstr>Склад!Область_печати</vt:lpstr>
      <vt:lpstr>Универсал!Область_печати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Virona</dc:creator>
  <cp:lastModifiedBy>Пользователь Windows</cp:lastModifiedBy>
  <cp:lastPrinted>2019-02-18T13:14:59Z</cp:lastPrinted>
  <dcterms:created xsi:type="dcterms:W3CDTF">2015-05-05T08:43:34Z</dcterms:created>
  <dcterms:modified xsi:type="dcterms:W3CDTF">2020-03-05T06:26:54Z</dcterms:modified>
</cp:coreProperties>
</file>